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vmlDrawing1.vml" ContentType="application/vnd.openxmlformats-officedocument.vmlDrawing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ÍCIO" sheetId="1" state="visible" r:id="rId3"/>
    <sheet name="MEUS PROCESSOS" sheetId="2" state="visible" r:id="rId4"/>
    <sheet name="50 PROCESSOS" sheetId="3" state="visible" r:id="rId5"/>
    <sheet name="AVALIAÇÃO MAPA" sheetId="4" state="visible" r:id="rId6"/>
    <sheet name="MATRIZ" sheetId="5" state="visible" r:id="rId7"/>
    <sheet name="CARTEIRA" sheetId="6" state="visible" r:id="rId8"/>
    <sheet name="CONFIGURAÇÕES" sheetId="7" state="visible" r:id="rId9"/>
  </sheets>
  <definedNames>
    <definedName function="false" hidden="true" localSheetId="2" name="_xlnm._FilterDatabase" vbProcedure="false">'50 PROCESSOS'!$A$5:$K$55</definedName>
    <definedName function="false" hidden="true" localSheetId="3" name="_xlnm._FilterDatabase" vbProcedure="false">'AVALIAÇÃO MAPA'!$A$5:$BE$105</definedName>
    <definedName function="false" hidden="true" localSheetId="5" name="_xlnm._FilterDatabase" vbProcedure="false">CARTEIRA!$A$5:$AD$105</definedName>
    <definedName function="false" hidden="true" localSheetId="1" name="_xlnm._FilterDatabase" vbProcedure="false">'MEUS PROCESSOS'!$A$5:$R$105</definedName>
    <definedName function="false" hidden="false" name="Config_Alteracoes" vbProcedure="false">CONFIGURAÇÕES!$D$6:$D$18</definedName>
    <definedName function="false" hidden="false" name="Corte" vbProcedure="false">CONFIGURAÇÕES!$B$30</definedName>
    <definedName function="false" hidden="false" name="Custo_Hora_Padrao" vbProcedure="false">CONFIGURAÇÕES!$B$12</definedName>
    <definedName function="false" hidden="false" name="Exp_V" vbProcedure="false">CONFIGURAÇÕES!$B$28</definedName>
    <definedName function="false" hidden="false" name="Exp_Vb" vbProcedure="false">CONFIGURAÇÕES!$B$29</definedName>
    <definedName function="false" hidden="false" name="Faixa_1" vbProcedure="false">CONFIGURAÇÕES!$B$6</definedName>
    <definedName function="false" hidden="false" name="Faixa_2" vbProcedure="false">CONFIGURAÇÕES!$B$7</definedName>
    <definedName function="false" hidden="false" name="Faixa_3" vbProcedure="false">CONFIGURAÇÕES!$B$8</definedName>
    <definedName function="false" hidden="false" name="Faixa_4" vbProcedure="false">CONFIGURAÇÕES!$B$9</definedName>
    <definedName function="false" hidden="false" name="Fator_Encargos" vbProcedure="false">CONFIGURAÇÕES!$B$10</definedName>
    <definedName function="false" hidden="false" name="Fr_Max" vbProcedure="false">CONFIGURAÇÕES!$B$32</definedName>
    <definedName function="false" hidden="false" name="Fr_Min" vbProcedure="false">CONFIGURAÇÕES!$B$31</definedName>
    <definedName function="false" hidden="false" name="F_Pen" vbProcedure="false">CONFIGURAÇÕES!$B$27</definedName>
    <definedName function="false" hidden="false" name="HE_Fator" vbProcedure="false">CONFIGURAÇÕES!$B$37</definedName>
    <definedName function="false" hidden="false" name="Horas_Produtivas" vbProcedure="false">CONFIGURAÇÕES!$B$11</definedName>
    <definedName function="false" hidden="false" name="Lib_Area" vbProcedure="false">'50 PROCESSOS'!$B$6:$B$55</definedName>
    <definedName function="false" hidden="false" name="Lib_Cod" vbProcedure="false">'50 PROCESSOS'!$A$6:$A$55</definedName>
    <definedName function="false" hidden="false" name="Lib_Deg" vbProcedure="false">'50 PROCESSOS'!$F$6:$F$55</definedName>
    <definedName function="false" hidden="false" name="Lib_PA" vbProcedure="false">'50 PROCESSOS'!$G$6:$G$55</definedName>
    <definedName function="false" hidden="false" name="Lib_PIA" vbProcedure="false">'50 PROCESSOS'!$H$6:$H$55</definedName>
    <definedName function="false" hidden="false" name="Lib_Proc" vbProcedure="false">'50 PROCESSOS'!$C$6:$C$55</definedName>
    <definedName function="false" hidden="false" name="Lib_Sinal" vbProcedure="false">'50 PROCESSOS'!$E$6:$E$55</definedName>
    <definedName function="false" hidden="false" name="Limite_Payback" vbProcedure="false">CONFIGURAÇÕES!$B$18</definedName>
    <definedName function="false" hidden="false" name="L_Areas" vbProcedure="false">CONFIGURAÇÕES!$A$49:$A$55</definedName>
    <definedName function="false" hidden="false" name="L_Degraus" vbProcedure="false">CONFIGURAÇÕES!$B$49:$B$53</definedName>
    <definedName function="false" hidden="false" name="L_Destino" vbProcedure="false">CONFIGURAÇÕES!$C$65:$C$69</definedName>
    <definedName function="false" hidden="false" name="L_Freq" vbProcedure="false">CONFIGURAÇÕES!$E$49:$E$51</definedName>
    <definedName function="false" hidden="false" name="L_Notas" vbProcedure="false">CONFIGURAÇÕES!$E$65:$E$69</definedName>
    <definedName function="false" hidden="false" name="L_Ondas" vbProcedure="false">CONFIGURAÇÕES!$B$65:$B$69</definedName>
    <definedName function="false" hidden="false" name="L_Retrab" vbProcedure="false">CONFIGURAÇÕES!$A$65:$A$68</definedName>
    <definedName function="false" hidden="false" name="L_Sinais" vbProcedure="false">CONFIGURAÇÕES!$C$49:$C$62</definedName>
    <definedName function="false" hidden="false" name="L_Status" vbProcedure="false">CONFIGURAÇÕES!$D$49:$D$51</definedName>
    <definedName function="false" hidden="false" name="L_StatusProj" vbProcedure="false">CONFIGURAÇÕES!$D$65:$D$70</definedName>
    <definedName function="false" hidden="false" name="MP_Area" vbProcedure="false">'MEUS PROCESSOS'!$K$6:$K$105</definedName>
    <definedName function="false" hidden="false" name="MP_Cons" vbProcedure="false">'MEUS PROCESSOS'!$Q$6:$Q$105</definedName>
    <definedName function="false" hidden="false" name="MP_Deg" vbProcedure="false">'MEUS PROCESSOS'!$M$6:$M$105</definedName>
    <definedName function="false" hidden="false" name="MP_Proc" vbProcedure="false">'MEUS PROCESSOS'!$J$6:$J$105</definedName>
    <definedName function="false" hidden="false" name="Mult_Diaria" vbProcedure="false">CONFIGURAÇÕES!$B$35</definedName>
    <definedName function="false" hidden="false" name="Mult_Semanal" vbProcedure="false">CONFIGURAÇÕES!$B$36</definedName>
    <definedName function="false" hidden="false" name="Red_A" vbProcedure="false">CONFIGURAÇÕES!$B$15</definedName>
    <definedName function="false" hidden="false" name="Red_IA" vbProcedure="false">CONFIGURAÇÕES!$B$16</definedName>
    <definedName function="false" hidden="false" name="Red_P" vbProcedure="false">CONFIGURAÇÕES!$B$14</definedName>
    <definedName function="false" hidden="false" name="Red_S" vbProcedure="false">CONFIGURAÇÕES!$B$13</definedName>
    <definedName function="false" hidden="false" name="Rota_Nota" vbProcedure="false">CONFIGURAÇÕES!$B$34</definedName>
    <definedName function="false" hidden="false" name="Sug_Alto" vbProcedure="false">CONFIGURAÇÕES!$B$38</definedName>
    <definedName function="false" hidden="false" name="Sug_Baixo" vbProcedure="false">CONFIGURAÇÕES!$B$40</definedName>
    <definedName function="false" hidden="false" name="Sug_Medio" vbProcedure="false">CONFIGURAÇÕES!$B$39</definedName>
    <definedName function="false" hidden="false" name="Transicao_Padrao" vbProcedure="false">CONFIGURAÇÕES!$B$17</definedName>
    <definedName function="false" hidden="false" name="Trava_Nota" vbProcedure="false">CONFIGURAÇÕES!$B$33</definedName>
    <definedName function="false" hidden="false" name="W_Custo" vbProcedure="false">CONFIGURAÇÕES!$B$21</definedName>
    <definedName function="false" hidden="false" name="W_Imp" vbProcedure="false">CONFIGURAÇÕES!$B$22</definedName>
    <definedName function="false" hidden="false" name="W_Pad" vbProcedure="false">CONFIGURAÇÕES!$B$25</definedName>
    <definedName function="false" hidden="false" name="W_Pot" vbProcedure="false">CONFIGURAÇÕES!$B$23</definedName>
    <definedName function="false" hidden="false" name="W_Rep" vbProcedure="false">CONFIGURAÇÕES!$B$24</definedName>
    <definedName function="false" hidden="false" name="W_Vol" vbProcedure="false">CONFIGURAÇÕES!$B$26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X5" authorId="0">
      <text>
        <r>
          <rPr>
            <sz val="10"/>
            <rFont val="Arial"/>
            <family val="2"/>
          </rPr>
          <t xml:space="preserve">Régua 1 a 5 (Parte 3): Efeito só dentro da área → afeta receita, caixa, conformidade ou reputação</t>
        </r>
      </text>
    </comment>
    <comment ref="Y5" authorId="0">
      <text>
        <r>
          <rPr>
            <sz val="10"/>
            <rFont val="Arial"/>
            <family val="2"/>
          </rPr>
          <t xml:space="preserve">Régua 1 a 5 (Parte 3): Cada execução é diferente → praticamente idêntico</t>
        </r>
      </text>
    </comment>
    <comment ref="Z5" authorId="0">
      <text>
        <r>
          <rPr>
            <sz val="10"/>
            <rFont val="Arial"/>
            <family val="2"/>
          </rPr>
          <t xml:space="preserve">Régua 1 a 5 (Parte 3): Cada um faz do seu jeito → padrão com regras no sistema</t>
        </r>
      </text>
    </comment>
    <comment ref="AA5" authorId="0">
      <text>
        <r>
          <rPr>
            <sz val="10"/>
            <rFont val="Arial"/>
            <family val="2"/>
          </rPr>
          <t xml:space="preserve">Régua 1 a 5 (Parte 3): até 20 · 20–100 · 100–500 · 500–2.000 · acima de 2.000 itens/mês</t>
        </r>
      </text>
    </comment>
    <comment ref="AB5" authorId="0">
      <text>
        <r>
          <rPr>
            <sz val="10"/>
            <rFont val="Arial"/>
            <family val="2"/>
          </rPr>
          <t xml:space="preserve">Régua 1 a 5 (Parte 3): Papel/sistemas fechados → dados estruturados e integráveis</t>
        </r>
      </text>
    </comment>
    <comment ref="AC5" authorId="0">
      <text>
        <r>
          <rPr>
            <sz val="10"/>
            <rFont val="Arial"/>
            <family val="2"/>
          </rPr>
          <t xml:space="preserve">Régua 1 a 5 (Parte 3): Nenhum dos 5 papéis → interpretação em alto volume</t>
        </r>
      </text>
    </comment>
    <comment ref="AD5" authorId="0">
      <text>
        <r>
          <rPr>
            <sz val="10"/>
            <rFont val="Arial"/>
            <family val="2"/>
          </rPr>
          <t xml:space="preserve">Régua 1 a 5 (Parte 3): Trivial e reversível → irreversível, dado sensível, exposição jurídica</t>
        </r>
      </text>
    </comment>
    <comment ref="AE5" authorId="0">
      <text>
        <r>
          <rPr>
            <sz val="10"/>
            <rFont val="Arial"/>
            <family val="2"/>
          </rPr>
          <t xml:space="preserve">Régua 1 a 5 (Parte 3): Configuração simples, dias → vários sistemas e áreas, mais de 4 meses</t>
        </r>
      </text>
    </comment>
  </commentList>
</comments>
</file>

<file path=xl/sharedStrings.xml><?xml version="1.0" encoding="utf-8"?>
<sst xmlns="http://schemas.openxmlformats.org/spreadsheetml/2006/main" count="758" uniqueCount="451">
  <si>
    <t xml:space="preserve">Planilha Método MAPA</t>
  </si>
  <si>
    <t xml:space="preserve">IA e Automação na Prática · Núcleo Financeiro Consultoria · Método MAPA v1.0</t>
  </si>
  <si>
    <t xml:space="preserve">ESCOLHA O SEU PONTO DE PARTIDA</t>
  </si>
  <si>
    <t xml:space="preserve">→ Começar do zero</t>
  </si>
  <si>
    <t xml:space="preserve">→ Explorar os 50 processos</t>
  </si>
  <si>
    <t xml:space="preserve">Cadastre processos que você já conhece.</t>
  </si>
  <si>
    <t xml:space="preserve">Use a biblioteca do livro como ponto de partida.</t>
  </si>
  <si>
    <t xml:space="preserve">COMO USAR, EM 5 PASSOS</t>
  </si>
  <si>
    <t xml:space="preserve">1. MEUS PROCESSOS: escolha códigos da biblioteca ou descreva processos próprios.</t>
  </si>
  <si>
    <t xml:space="preserve">2. AVALIAÇÃO MAPA: preencha medição e as 8 notas (a nota de custo é calculada).</t>
  </si>
  <si>
    <t xml:space="preserve">3. MATRIZ: veja o ranking e a classificação de cada processo.</t>
  </si>
  <si>
    <t xml:space="preserve">4. CARTEIRA: defina ondas, investimento e destino das horas liberadas.</t>
  </si>
  <si>
    <t xml:space="preserve">5. Revise a cada trimestre: processos mudam, notas mudam.</t>
  </si>
  <si>
    <t xml:space="preserve">LEGENDA</t>
  </si>
  <si>
    <t xml:space="preserve">Célula azul</t>
  </si>
  <si>
    <t xml:space="preserve">Entrada: preencha</t>
  </si>
  <si>
    <t xml:space="preserve">Célula branca</t>
  </si>
  <si>
    <t xml:space="preserve">Cálculo: não editar</t>
  </si>
  <si>
    <t xml:space="preserve">Célula cinza</t>
  </si>
  <si>
    <t xml:space="preserve">Parâmetro congelado da v1.0</t>
  </si>
  <si>
    <t xml:space="preserve">ESPAI</t>
  </si>
  <si>
    <t xml:space="preserve">E eliminar · S simplificar · P padronizar · A automatizar · IA aplicar IA</t>
  </si>
  <si>
    <t xml:space="preserve">Controle humano</t>
  </si>
  <si>
    <t xml:space="preserve">Nível 1 = o sistema sugere, a pessoa executa (mais intenso) · Nível 4 = a pessoa audita amostras (mais autônomo)</t>
  </si>
  <si>
    <t xml:space="preserve">PAINEL</t>
  </si>
  <si>
    <t xml:space="preserve">DISTRIBUIÇÃO POR ÁREA</t>
  </si>
  <si>
    <t xml:space="preserve">Processos considerados</t>
  </si>
  <si>
    <t xml:space="preserve">Financeiro</t>
  </si>
  <si>
    <t xml:space="preserve">Avaliações completas</t>
  </si>
  <si>
    <t xml:space="preserve">Contabilidade e fiscal</t>
  </si>
  <si>
    <t xml:space="preserve">Custo anual dos processos (R$)</t>
  </si>
  <si>
    <t xml:space="preserve">Comercial</t>
  </si>
  <si>
    <t xml:space="preserve">Potencial econômico (R$/ano)</t>
  </si>
  <si>
    <t xml:space="preserve">Atendimento</t>
  </si>
  <si>
    <t xml:space="preserve">· efeito em caixa estimado</t>
  </si>
  <si>
    <t xml:space="preserve">RH</t>
  </si>
  <si>
    <t xml:space="preserve">· valor da capacidade liberada</t>
  </si>
  <si>
    <t xml:space="preserve">Compras</t>
  </si>
  <si>
    <t xml:space="preserve">Horas liberadas por ano</t>
  </si>
  <si>
    <t xml:space="preserve">Administrativo e gestão</t>
  </si>
  <si>
    <t xml:space="preserve">Fazer primeiro</t>
  </si>
  <si>
    <t xml:space="preserve">Projetos estratégicos</t>
  </si>
  <si>
    <t xml:space="preserve">Quick wins</t>
  </si>
  <si>
    <t xml:space="preserve">DISTRIBUIÇÃO POR 1º DEGRAU ESPAI</t>
  </si>
  <si>
    <t xml:space="preserve">Evitar</t>
  </si>
  <si>
    <t xml:space="preserve">E</t>
  </si>
  <si>
    <t xml:space="preserve">Com trava de 1ª onda</t>
  </si>
  <si>
    <t xml:space="preserve">S</t>
  </si>
  <si>
    <t xml:space="preserve">Com rota P</t>
  </si>
  <si>
    <t xml:space="preserve">P</t>
  </si>
  <si>
    <t xml:space="preserve">Com rota E/S</t>
  </si>
  <si>
    <t xml:space="preserve">A</t>
  </si>
  <si>
    <t xml:space="preserve">IA</t>
  </si>
  <si>
    <t xml:space="preserve">A planilha apoia a priorização feita pela própria empresa. Números são estimativas baseadas nas informações fornecidas e em faixas iniciais para simulação; valide em protótipo. O Diagnóstico MAPA profissional mede os processos na operação e constrói o roadmap de implantação. [LINK DO DIAGNÓSTICO]</t>
  </si>
  <si>
    <t xml:space="preserve">Meus processos · Cadastro</t>
  </si>
  <si>
    <t xml:space="preserve">Escolha um código da biblioteca OU descreva um processo próprio. Nunca apague linhas: para retirar um processo, mude o Status para “Excluído”.</t>
  </si>
  <si>
    <t xml:space="preserve">ENTRADAS</t>
  </si>
  <si>
    <t xml:space="preserve">CALCULADO</t>
  </si>
  <si>
    <t xml:space="preserve">Nº</t>
  </si>
  <si>
    <t xml:space="preserve">Código da biblioteca</t>
  </si>
  <si>
    <t xml:space="preserve">Nome do processo próprio</t>
  </si>
  <si>
    <t xml:space="preserve">Área (processo próprio)</t>
  </si>
  <si>
    <t xml:space="preserve">Sinal principal (processo próprio)</t>
  </si>
  <si>
    <t xml:space="preserve">1º degrau (processo próprio)</t>
  </si>
  <si>
    <t xml:space="preserve">Dono do processo</t>
  </si>
  <si>
    <t xml:space="preserve">Status</t>
  </si>
  <si>
    <t xml:space="preserve">Observações</t>
  </si>
  <si>
    <t xml:space="preserve">Processo</t>
  </si>
  <si>
    <t xml:space="preserve">Área</t>
  </si>
  <si>
    <t xml:space="preserve">Sinal principal</t>
  </si>
  <si>
    <t xml:space="preserve">1º degrau ESPAI</t>
  </si>
  <si>
    <t xml:space="preserve">Pot. automação sugerido</t>
  </si>
  <si>
    <t xml:space="preserve">Pot. IA sugerido</t>
  </si>
  <si>
    <t xml:space="preserve">Origem</t>
  </si>
  <si>
    <t xml:space="preserve">Considerar (1/0)</t>
  </si>
  <si>
    <t xml:space="preserve">Alerta</t>
  </si>
  <si>
    <t xml:space="preserve">Biblioteca · Os 50 processos (Parte 6)</t>
  </si>
  <si>
    <t xml:space="preserve">Hipóteses para investigar, não prioridades. Para levar um processo à avaliação, escolha o código na aba MEUS PROCESSOS. Use os filtros do cabeçalho.</t>
  </si>
  <si>
    <t xml:space="preserve">Código</t>
  </si>
  <si>
    <t xml:space="preserve">Situação (Parte 5)</t>
  </si>
  <si>
    <t xml:space="preserve">Pot. automação</t>
  </si>
  <si>
    <t xml:space="preserve">Pot. IA</t>
  </si>
  <si>
    <t xml:space="preserve">Controle humano (nível)</t>
  </si>
  <si>
    <t xml:space="preserve">Página na Parte 5</t>
  </si>
  <si>
    <t xml:space="preserve">No meu mapa</t>
  </si>
  <si>
    <t xml:space="preserve">F01</t>
  </si>
  <si>
    <t xml:space="preserve">Lançamento de contas a pagar</t>
  </si>
  <si>
    <t xml:space="preserve">Os boletos e as notas que chegam por e-mail e são digitados um a um</t>
  </si>
  <si>
    <t xml:space="preserve">03 digitação</t>
  </si>
  <si>
    <t xml:space="preserve">Alto</t>
  </si>
  <si>
    <t xml:space="preserve">F02</t>
  </si>
  <si>
    <t xml:space="preserve">Aprovação de pagamentos</t>
  </si>
  <si>
    <t xml:space="preserve">O pagamento que espera três aprovações pelo WhatsApp</t>
  </si>
  <si>
    <t xml:space="preserve">13 regras</t>
  </si>
  <si>
    <t xml:space="preserve">Médio</t>
  </si>
  <si>
    <t xml:space="preserve">Baixo</t>
  </si>
  <si>
    <t xml:space="preserve">F03</t>
  </si>
  <si>
    <t xml:space="preserve">Conciliação bancária</t>
  </si>
  <si>
    <t xml:space="preserve">A conciliação que consome horas todos os dias</t>
  </si>
  <si>
    <t xml:space="preserve">04 conferência</t>
  </si>
  <si>
    <t xml:space="preserve">F04</t>
  </si>
  <si>
    <t xml:space="preserve">Baixa e identificação de recebimentos</t>
  </si>
  <si>
    <t xml:space="preserve">O recebimento que ninguém consegue identificar</t>
  </si>
  <si>
    <t xml:space="preserve">F05</t>
  </si>
  <si>
    <t xml:space="preserve">Cobrança de clientes</t>
  </si>
  <si>
    <t xml:space="preserve">A cobrança que depende de alguém lembrar de ligar</t>
  </si>
  <si>
    <t xml:space="preserve">01 repetitiva</t>
  </si>
  <si>
    <t xml:space="preserve">F06</t>
  </si>
  <si>
    <t xml:space="preserve">Fluxo de caixa</t>
  </si>
  <si>
    <t xml:space="preserve">O fluxo de caixa que só é confiável na segunda-feira</t>
  </si>
  <si>
    <t xml:space="preserve">02 copiar e colar</t>
  </si>
  <si>
    <t xml:space="preserve">F07</t>
  </si>
  <si>
    <t xml:space="preserve">Classificação financeira</t>
  </si>
  <si>
    <t xml:space="preserve">Os lançamentos classificados em 'outros'</t>
  </si>
  <si>
    <t xml:space="preserve">11 classificação</t>
  </si>
  <si>
    <t xml:space="preserve">F08</t>
  </si>
  <si>
    <t xml:space="preserve">Monitoramento de despesas</t>
  </si>
  <si>
    <t xml:space="preserve">As despesas que crescem sem ninguém perceber</t>
  </si>
  <si>
    <t xml:space="preserve">12 comparação</t>
  </si>
  <si>
    <t xml:space="preserve">F09</t>
  </si>
  <si>
    <t xml:space="preserve">Cadastro de fornecedores</t>
  </si>
  <si>
    <t xml:space="preserve">O cadastro de fornecedores com três versões do mesmo CNPJ</t>
  </si>
  <si>
    <t xml:space="preserve">07 informação duplicada</t>
  </si>
  <si>
    <t xml:space="preserve">F10</t>
  </si>
  <si>
    <t xml:space="preserve">Relatório gerencial e DRE</t>
  </si>
  <si>
    <t xml:space="preserve">O relatório gerencial que leva quatro dias para ficar pronto</t>
  </si>
  <si>
    <t xml:space="preserve">06 relatório manual</t>
  </si>
  <si>
    <t xml:space="preserve">F11</t>
  </si>
  <si>
    <t xml:space="preserve">Orçamento e orçado × realizado</t>
  </si>
  <si>
    <t xml:space="preserve">O orçamento que virou uma planilha de 40 abas</t>
  </si>
  <si>
    <t xml:space="preserve">05 planilha paralela</t>
  </si>
  <si>
    <t xml:space="preserve">F12</t>
  </si>
  <si>
    <t xml:space="preserve">Previsão de resultado e caixa</t>
  </si>
  <si>
    <t xml:space="preserve">A previsão que ninguém atualiza</t>
  </si>
  <si>
    <t xml:space="preserve">F13</t>
  </si>
  <si>
    <t xml:space="preserve">Reembolsos e prestação de contas</t>
  </si>
  <si>
    <t xml:space="preserve">Os recibos fotografados que alguém redigita</t>
  </si>
  <si>
    <t xml:space="preserve">10 leitura</t>
  </si>
  <si>
    <t xml:space="preserve">novo</t>
  </si>
  <si>
    <t xml:space="preserve">F14</t>
  </si>
  <si>
    <t xml:space="preserve">Fatura do cartão corporativo</t>
  </si>
  <si>
    <t xml:space="preserve">A fatura do cartão lançada linha a linha</t>
  </si>
  <si>
    <t xml:space="preserve">CT01</t>
  </si>
  <si>
    <t xml:space="preserve">Recepção de documentos contábeis</t>
  </si>
  <si>
    <t xml:space="preserve">Os documentos que chegam à contabilidade no último dia</t>
  </si>
  <si>
    <t xml:space="preserve">CT02</t>
  </si>
  <si>
    <t xml:space="preserve">Classificação contábil</t>
  </si>
  <si>
    <t xml:space="preserve">Os lançamentos reclassificados a cada fechamento</t>
  </si>
  <si>
    <t xml:space="preserve">CT03</t>
  </si>
  <si>
    <t xml:space="preserve">Conciliação de contas contábeis</t>
  </si>
  <si>
    <t xml:space="preserve">A conciliação contábil feita conta por conta no Excel</t>
  </si>
  <si>
    <t xml:space="preserve">CT04</t>
  </si>
  <si>
    <t xml:space="preserve">Conferência de retenções</t>
  </si>
  <si>
    <t xml:space="preserve">As retenções conferidas nota a nota</t>
  </si>
  <si>
    <t xml:space="preserve">CT05</t>
  </si>
  <si>
    <t xml:space="preserve">Fechamento contábil</t>
  </si>
  <si>
    <t xml:space="preserve">O fechamento que depende da memória do contador</t>
  </si>
  <si>
    <t xml:space="preserve">09 dependência de uma pessoa</t>
  </si>
  <si>
    <t xml:space="preserve">CT06</t>
  </si>
  <si>
    <t xml:space="preserve">Auditoria de lançamentos</t>
  </si>
  <si>
    <t xml:space="preserve">A auditoria que só consegue olhar amostras</t>
  </si>
  <si>
    <t xml:space="preserve">CT07</t>
  </si>
  <si>
    <t xml:space="preserve">Controle de prazos e obrigações</t>
  </si>
  <si>
    <t xml:space="preserve">Os prazos fiscais controlados em uma planilha</t>
  </si>
  <si>
    <t xml:space="preserve">CM01</t>
  </si>
  <si>
    <t xml:space="preserve">Atualização do CRM</t>
  </si>
  <si>
    <t xml:space="preserve">O CRM que ninguém atualiza</t>
  </si>
  <si>
    <t xml:space="preserve">CM02</t>
  </si>
  <si>
    <t xml:space="preserve">Follow-up de propostas</t>
  </si>
  <si>
    <t xml:space="preserve">O follow-up que depende da memória do vendedor</t>
  </si>
  <si>
    <t xml:space="preserve">CM03</t>
  </si>
  <si>
    <t xml:space="preserve">Elaboração de propostas</t>
  </si>
  <si>
    <t xml:space="preserve">A proposta que leva dois dias para sair</t>
  </si>
  <si>
    <t xml:space="preserve">CM04</t>
  </si>
  <si>
    <t xml:space="preserve">Registro de reuniões com clientes</t>
  </si>
  <si>
    <t xml:space="preserve">A reunião cujo combinado se perde</t>
  </si>
  <si>
    <t xml:space="preserve">CM05</t>
  </si>
  <si>
    <t xml:space="preserve">Análise de motivos de perda</t>
  </si>
  <si>
    <t xml:space="preserve">As vendas perdidas sem motivo registrado</t>
  </si>
  <si>
    <t xml:space="preserve">CM06</t>
  </si>
  <si>
    <t xml:space="preserve">Recuperação de clientes inativos</t>
  </si>
  <si>
    <t xml:space="preserve">Os clientes que param de comprar sem ninguém perceber</t>
  </si>
  <si>
    <t xml:space="preserve">CM07</t>
  </si>
  <si>
    <t xml:space="preserve">Prospecção e qualificação de leads</t>
  </si>
  <si>
    <t xml:space="preserve">A lista de prospecção montada à mão</t>
  </si>
  <si>
    <t xml:space="preserve">AT01</t>
  </si>
  <si>
    <t xml:space="preserve">Respostas a perguntas frequentes</t>
  </si>
  <si>
    <t xml:space="preserve">As mesmas dez perguntas respondidas todos os dias</t>
  </si>
  <si>
    <t xml:space="preserve">AT02</t>
  </si>
  <si>
    <t xml:space="preserve">Triagem de mensagens</t>
  </si>
  <si>
    <t xml:space="preserve">O WhatsApp que mistura venda, suporte e financeiro</t>
  </si>
  <si>
    <t xml:space="preserve">AT03</t>
  </si>
  <si>
    <t xml:space="preserve">Transferência entre atendentes</t>
  </si>
  <si>
    <t xml:space="preserve">O cliente que precisa repetir a história a cada atendente</t>
  </si>
  <si>
    <t xml:space="preserve">AT04</t>
  </si>
  <si>
    <t xml:space="preserve">Análise de problemas recorrentes</t>
  </si>
  <si>
    <t xml:space="preserve">O problema recorrente que ninguém enxerga</t>
  </si>
  <si>
    <t xml:space="preserve">AT05</t>
  </si>
  <si>
    <t xml:space="preserve">Envio de segunda via</t>
  </si>
  <si>
    <t xml:space="preserve">A segunda via de boleto pedida por mensagem</t>
  </si>
  <si>
    <t xml:space="preserve">RH01</t>
  </si>
  <si>
    <t xml:space="preserve">Triagem de currículos</t>
  </si>
  <si>
    <t xml:space="preserve">Os 300 currículos lidos para uma vaga</t>
  </si>
  <si>
    <t xml:space="preserve">RH02</t>
  </si>
  <si>
    <t xml:space="preserve">Documentação de admissão</t>
  </si>
  <si>
    <t xml:space="preserve">Os documentos de admissão cobrados um a um</t>
  </si>
  <si>
    <t xml:space="preserve">RH03</t>
  </si>
  <si>
    <t xml:space="preserve">Dúvidas sobre políticas e benefícios</t>
  </si>
  <si>
    <t xml:space="preserve">As mesmas dúvidas sobre férias e benefícios</t>
  </si>
  <si>
    <t xml:space="preserve">RH04</t>
  </si>
  <si>
    <t xml:space="preserve">Análise de pesquisas internas</t>
  </si>
  <si>
    <t xml:space="preserve">A pesquisa interna com 500 comentários que ninguém lê</t>
  </si>
  <si>
    <t xml:space="preserve">RH05</t>
  </si>
  <si>
    <t xml:space="preserve">Integração de novos colaboradores</t>
  </si>
  <si>
    <t xml:space="preserve">O onboarding que depende de quem está disponível</t>
  </si>
  <si>
    <t xml:space="preserve">RH06</t>
  </si>
  <si>
    <t xml:space="preserve">Avaliação de desempenho</t>
  </si>
  <si>
    <t xml:space="preserve">A avaliação espalhada em planilhas e e-mails</t>
  </si>
  <si>
    <t xml:space="preserve">CP01</t>
  </si>
  <si>
    <t xml:space="preserve">Solicitação de compra</t>
  </si>
  <si>
    <t xml:space="preserve">A solicitação de compra que chega pelo WhatsApp sem especificação</t>
  </si>
  <si>
    <t xml:space="preserve">CP02</t>
  </si>
  <si>
    <t xml:space="preserve">Cotação e comparação de propostas</t>
  </si>
  <si>
    <t xml:space="preserve">As cotações que chegam em cinco formatos diferentes</t>
  </si>
  <si>
    <t xml:space="preserve">CP03</t>
  </si>
  <si>
    <t xml:space="preserve">Monitoramento de preços de compra</t>
  </si>
  <si>
    <t xml:space="preserve">O preço que subiu e ninguém percebeu</t>
  </si>
  <si>
    <t xml:space="preserve">CP04</t>
  </si>
  <si>
    <t xml:space="preserve">Avaliação de fornecedores</t>
  </si>
  <si>
    <t xml:space="preserve">O fornecedor que só é avaliado quando algo dá errado</t>
  </si>
  <si>
    <t xml:space="preserve">CP05</t>
  </si>
  <si>
    <t xml:space="preserve">Conferência de recebimento</t>
  </si>
  <si>
    <t xml:space="preserve">A nota conferida contra o pedido no papel</t>
  </si>
  <si>
    <t xml:space="preserve">AD01</t>
  </si>
  <si>
    <t xml:space="preserve">Atas e planos de ação</t>
  </si>
  <si>
    <t xml:space="preserve">A reunião que termina sem ata e sem responsável</t>
  </si>
  <si>
    <t xml:space="preserve">AD02</t>
  </si>
  <si>
    <t xml:space="preserve">Gestão de contratos</t>
  </si>
  <si>
    <t xml:space="preserve">Os contratos que ninguém sabe quando vencem</t>
  </si>
  <si>
    <t xml:space="preserve">AD03</t>
  </si>
  <si>
    <t xml:space="preserve">Indicadores de gestão</t>
  </si>
  <si>
    <t xml:space="preserve">O indicador que cada área calcula de um jeito</t>
  </si>
  <si>
    <t xml:space="preserve">AD04</t>
  </si>
  <si>
    <t xml:space="preserve">Apresentação de resultados</t>
  </si>
  <si>
    <t xml:space="preserve">A apresentação mensal montada do zero</t>
  </si>
  <si>
    <t xml:space="preserve">AD05</t>
  </si>
  <si>
    <t xml:space="preserve">Procedimentos operacionais</t>
  </si>
  <si>
    <t xml:space="preserve">O procedimento que só existe na cabeça de alguém</t>
  </si>
  <si>
    <t xml:space="preserve">AD06</t>
  </si>
  <si>
    <t xml:space="preserve">Busca de documentos e informações</t>
  </si>
  <si>
    <t xml:space="preserve">O documento que ninguém encontra</t>
  </si>
  <si>
    <t xml:space="preserve">Avaliação MAPA · 12 critérios, Score e potencial econômico</t>
  </si>
  <si>
    <t xml:space="preserve">Preencha as células azuis. Frequência, tempo e pessoas entram uma única vez, através do custo. O Score só aparece quando a avaliação está completa.</t>
  </si>
  <si>
    <t xml:space="preserve">A · MEDIÇÃO (ENTRADAS)</t>
  </si>
  <si>
    <t xml:space="preserve">B · CUSTO</t>
  </si>
  <si>
    <t xml:space="preserve">C · NOTAS 1 A 5 (ENTRADAS)</t>
  </si>
  <si>
    <t xml:space="preserve">COMPLETUDE</t>
  </si>
  <si>
    <t xml:space="preserve">D · RESULTADO MAPA</t>
  </si>
  <si>
    <t xml:space="preserve">E · POTENCIAL ECONÔMICO</t>
  </si>
  <si>
    <t xml:space="preserve">Considerar</t>
  </si>
  <si>
    <t xml:space="preserve">Frequência</t>
  </si>
  <si>
    <t xml:space="preserve">Vezes por período</t>
  </si>
  <si>
    <t xml:space="preserve">Tempo por pessoa (min)</t>
  </si>
  <si>
    <t xml:space="preserve">Pessoas</t>
  </si>
  <si>
    <t xml:space="preserve">Custo por hora (R$)</t>
  </si>
  <si>
    <t xml:space="preserve">Retrabalho</t>
  </si>
  <si>
    <t xml:space="preserve">Erros por mês</t>
  </si>
  <si>
    <t xml:space="preserve">Custo médio por erro (R$)</t>
  </si>
  <si>
    <t xml:space="preserve">Horas extras por mês</t>
  </si>
  <si>
    <t xml:space="preserve">Multas e juros por mês (R$)</t>
  </si>
  <si>
    <t xml:space="preserve">Execuções por mês</t>
  </si>
  <si>
    <t xml:space="preserve">Horas por mês</t>
  </si>
  <si>
    <t xml:space="preserve">Custo por hora usado</t>
  </si>
  <si>
    <t xml:space="preserve">Custo direto anual</t>
  </si>
  <si>
    <t xml:space="preserve">Retrabalho anual</t>
  </si>
  <si>
    <t xml:space="preserve">Erros anual</t>
  </si>
  <si>
    <t xml:space="preserve">Atrasos anual</t>
  </si>
  <si>
    <t xml:space="preserve">Custo anual total</t>
  </si>
  <si>
    <t xml:space="preserve">Nota de custo</t>
  </si>
  <si>
    <t xml:space="preserve">Impacto</t>
  </si>
  <si>
    <t xml:space="preserve">Repetitividade</t>
  </si>
  <si>
    <t xml:space="preserve">Padronização</t>
  </si>
  <si>
    <t xml:space="preserve">Volume</t>
  </si>
  <si>
    <t xml:space="preserve">Risco</t>
  </si>
  <si>
    <t xml:space="preserve">Complexidade</t>
  </si>
  <si>
    <t xml:space="preserve">Pot. automação usado</t>
  </si>
  <si>
    <t xml:space="preserve">Pot. IA usado</t>
  </si>
  <si>
    <t xml:space="preserve">Origem dos potenciais</t>
  </si>
  <si>
    <t xml:space="preserve">Situação da avaliação</t>
  </si>
  <si>
    <t xml:space="preserve">Valor</t>
  </si>
  <si>
    <t xml:space="preserve">Aderência</t>
  </si>
  <si>
    <t xml:space="preserve">Facilidade</t>
  </si>
  <si>
    <t xml:space="preserve">Viabilidade</t>
  </si>
  <si>
    <t xml:space="preserve">Score MAPA</t>
  </si>
  <si>
    <t xml:space="preserve">Quadrante base</t>
  </si>
  <si>
    <t xml:space="preserve">Trava de 1ª onda</t>
  </si>
  <si>
    <t xml:space="preserve">Rota E/S</t>
  </si>
  <si>
    <t xml:space="preserve">Rota P</t>
  </si>
  <si>
    <t xml:space="preserve">Classificação final</t>
  </si>
  <si>
    <t xml:space="preserve">Zona de fronteira</t>
  </si>
  <si>
    <t xml:space="preserve">Ranking</t>
  </si>
  <si>
    <t xml:space="preserve">Degrau ESPAI para simulação</t>
  </si>
  <si>
    <t xml:space="preserve">Degrau usado</t>
  </si>
  <si>
    <t xml:space="preserve">Redução de esforço informada</t>
  </si>
  <si>
    <t xml:space="preserve">Redução usada</t>
  </si>
  <si>
    <t xml:space="preserve">Efeito em caixa estimado (ano)</t>
  </si>
  <si>
    <t xml:space="preserve">Valor da capacidade liberada (ano)</t>
  </si>
  <si>
    <t xml:space="preserve">Potencial econômico (ano)</t>
  </si>
  <si>
    <t xml:space="preserve">Observação econômica</t>
  </si>
  <si>
    <t xml:space="preserve">Chave de ranking</t>
  </si>
  <si>
    <t xml:space="preserve">Matriz e ranking · Priorizar</t>
  </si>
  <si>
    <t xml:space="preserve">O Score ordena; a matriz classifica. Processos com trava de primeira onda vão para Projeto estratégico ou Evitar, qualquer que seja o Score.</t>
  </si>
  <si>
    <t xml:space="preserve">Auxiliar do gráfico (não editar · −1 = ponto fora da área do gráfico)</t>
  </si>
  <si>
    <t xml:space="preserve">Posição</t>
  </si>
  <si>
    <t xml:space="preserve">Trava</t>
  </si>
  <si>
    <t xml:space="preserve">Fronteira</t>
  </si>
  <si>
    <t xml:space="preserve">Degrau ESPAI</t>
  </si>
  <si>
    <t xml:space="preserve">Classificação</t>
  </si>
  <si>
    <t xml:space="preserve">Processos</t>
  </si>
  <si>
    <t xml:space="preserve">Viab.</t>
  </si>
  <si>
    <t xml:space="preserve">Classe</t>
  </si>
  <si>
    <t xml:space="preserve">Fazer primeiro · y</t>
  </si>
  <si>
    <t xml:space="preserve">Projeto estratégico · y</t>
  </si>
  <si>
    <t xml:space="preserve">Quick win · y</t>
  </si>
  <si>
    <t xml:space="preserve">Evitar · y</t>
  </si>
  <si>
    <t xml:space="preserve">Com trava · y</t>
  </si>
  <si>
    <t xml:space="preserve">Corte x</t>
  </si>
  <si>
    <t xml:space="preserve">Corte y</t>
  </si>
  <si>
    <t xml:space="preserve">Corte x2</t>
  </si>
  <si>
    <t xml:space="preserve">Corte y2</t>
  </si>
  <si>
    <t xml:space="preserve">Projeto estratégico</t>
  </si>
  <si>
    <t xml:space="preserve">Quick win</t>
  </si>
  <si>
    <t xml:space="preserve">Carteira de projetos · Agir</t>
  </si>
  <si>
    <t xml:space="preserve">Defina a onda, o investimento e o destino das horas liberadas. Horas só viram benefício financeiro com destino elegível, responsável e data (Parte 8).</t>
  </si>
  <si>
    <t xml:space="preserve">RESUMO POR ONDA</t>
  </si>
  <si>
    <t xml:space="preserve">Onda</t>
  </si>
  <si>
    <t xml:space="preserve">Responsável pelo projeto</t>
  </si>
  <si>
    <t xml:space="preserve">Início previsto</t>
  </si>
  <si>
    <t xml:space="preserve">Investimento inicial (R$)</t>
  </si>
  <si>
    <t xml:space="preserve">Custo recorrente por mês (R$)</t>
  </si>
  <si>
    <t xml:space="preserve">Transição (meses)</t>
  </si>
  <si>
    <t xml:space="preserve">Destino das horas liberadas</t>
  </si>
  <si>
    <t xml:space="preserve">Responsável pela captura</t>
  </si>
  <si>
    <t xml:space="preserve">Data de medição</t>
  </si>
  <si>
    <t xml:space="preserve">Status do projeto</t>
  </si>
  <si>
    <t xml:space="preserve">Horas liberadas por mês</t>
  </si>
  <si>
    <t xml:space="preserve">Transição usada</t>
  </si>
  <si>
    <t xml:space="preserve">Benefício capturado (ano)</t>
  </si>
  <si>
    <t xml:space="preserve">Payback econômico</t>
  </si>
  <si>
    <t xml:space="preserve">Payback com benefício capturado</t>
  </si>
  <si>
    <t xml:space="preserve">Base do benefício capturado</t>
  </si>
  <si>
    <t xml:space="preserve">Acumulado em 12 meses (econômico)</t>
  </si>
  <si>
    <t xml:space="preserve">Acumulado em 24 meses (econômico)</t>
  </si>
  <si>
    <t xml:space="preserve">Alertas da carteira</t>
  </si>
  <si>
    <t xml:space="preserve">aux · payback econ.</t>
  </si>
  <si>
    <t xml:space="preserve">aux · payback capt.</t>
  </si>
  <si>
    <t xml:space="preserve">aux · degrau</t>
  </si>
  <si>
    <t xml:space="preserve">aux · automação</t>
  </si>
  <si>
    <t xml:space="preserve">Projetos</t>
  </si>
  <si>
    <t xml:space="preserve">Investimento (R$)</t>
  </si>
  <si>
    <t xml:space="preserve">Onda 1</t>
  </si>
  <si>
    <t xml:space="preserve">Onda 2</t>
  </si>
  <si>
    <t xml:space="preserve">Onda 3</t>
  </si>
  <si>
    <t xml:space="preserve">Onda 4</t>
  </si>
  <si>
    <t xml:space="preserve">Configurações · Método MAPA v1.0</t>
  </si>
  <si>
    <t xml:space="preserve">Parâmetros editáveis (azul) e parâmetros congelados da metodologia (cinza). Alterar parâmetros editáveis muda os resultados: o INÍCIO avisa quando a configuração difere da v1.0.</t>
  </si>
  <si>
    <t xml:space="preserve">PARÂMETROS EDITÁVEIS</t>
  </si>
  <si>
    <t xml:space="preserve">Parâmetro</t>
  </si>
  <si>
    <t xml:space="preserve">Valor em uso</t>
  </si>
  <si>
    <t xml:space="preserve">Valor v1.0</t>
  </si>
  <si>
    <t xml:space="preserve">Alterado?</t>
  </si>
  <si>
    <t xml:space="preserve">Observação</t>
  </si>
  <si>
    <t xml:space="preserve">Custo anual: limite da nota 1 (R$)</t>
  </si>
  <si>
    <t xml:space="preserve">Até este valor, nota de custo 1</t>
  </si>
  <si>
    <t xml:space="preserve">Custo anual: limite da nota 2 (R$)</t>
  </si>
  <si>
    <t xml:space="preserve">Custo anual: limite da nota 3 (R$)</t>
  </si>
  <si>
    <t xml:space="preserve">Custo anual: limite da nota 4 (R$)</t>
  </si>
  <si>
    <t xml:space="preserve">Acima deste valor, nota 5. Faixas calibradas para empresas de 10 a 300 funcionários (Parte 3)</t>
  </si>
  <si>
    <t xml:space="preserve">Fator de encargos e benefícios (× salário)</t>
  </si>
  <si>
    <t xml:space="preserve">Referência inicial; ajuste conforme o custo real da empresa (Parte 3)</t>
  </si>
  <si>
    <t xml:space="preserve">Horas produtivas por mês</t>
  </si>
  <si>
    <t xml:space="preserve">Custo por hora padrão (R$) · opcional</t>
  </si>
  <si>
    <t xml:space="preserve">Usado quando o processo não tem custo por hora próprio</t>
  </si>
  <si>
    <t xml:space="preserve">Faixa inicial para simulação · Simplificar</t>
  </si>
  <si>
    <t xml:space="preserve">Ponto médio da faixa 20% a 50%</t>
  </si>
  <si>
    <t xml:space="preserve">Faixa inicial para simulação · Padronizar</t>
  </si>
  <si>
    <t xml:space="preserve">Ponto médio da faixa 10% a 30%</t>
  </si>
  <si>
    <t xml:space="preserve">Faixa inicial para simulação · Automatizar</t>
  </si>
  <si>
    <t xml:space="preserve">Ponto médio da faixa 60% a 90%</t>
  </si>
  <si>
    <t xml:space="preserve">Faixa inicial para simulação · IA com revisão humana</t>
  </si>
  <si>
    <t xml:space="preserve">Ponto médio da faixa 40% a 70%</t>
  </si>
  <si>
    <t xml:space="preserve">Período de transição padrão (meses)</t>
  </si>
  <si>
    <t xml:space="preserve">Meses com 50% do ganho</t>
  </si>
  <si>
    <t xml:space="preserve">Limite de exibição do payback (meses)</t>
  </si>
  <si>
    <t xml:space="preserve">Acima disso: “acima de 36 meses”</t>
  </si>
  <si>
    <t xml:space="preserve">PARÂMETROS CONGELADOS DA METODOLOGIA v1.0 (não editar)</t>
  </si>
  <si>
    <t xml:space="preserve">Valor · peso do custo</t>
  </si>
  <si>
    <t xml:space="preserve">Valor · peso do impacto</t>
  </si>
  <si>
    <t xml:space="preserve">Aderência · peso do maior potencial</t>
  </si>
  <si>
    <t xml:space="preserve">Aderência · peso da repetitividade</t>
  </si>
  <si>
    <t xml:space="preserve">Aderência · peso da padronização</t>
  </si>
  <si>
    <t xml:space="preserve">Aderência · peso do volume</t>
  </si>
  <si>
    <t xml:space="preserve">Facilidade · penalidade máxima por restrição</t>
  </si>
  <si>
    <t xml:space="preserve">Score · expoente do Valor</t>
  </si>
  <si>
    <t xml:space="preserve">Score · expoente da Viabilidade</t>
  </si>
  <si>
    <t xml:space="preserve">Linha de corte dos quadrantes</t>
  </si>
  <si>
    <t xml:space="preserve">Zona de fronteira · mínimo</t>
  </si>
  <si>
    <t xml:space="preserve">Zona de fronteira · máximo</t>
  </si>
  <si>
    <t xml:space="preserve">Trava de primeira onda · risco ou complexidade =</t>
  </si>
  <si>
    <t xml:space="preserve">Rotas E/S e P · nota ≤</t>
  </si>
  <si>
    <t xml:space="preserve">Execuções: dias úteis por mês</t>
  </si>
  <si>
    <t xml:space="preserve">Execuções: semanas por mês</t>
  </si>
  <si>
    <t xml:space="preserve">Horas extras: adicional</t>
  </si>
  <si>
    <t xml:space="preserve">Sugestão da biblioteca · Alto</t>
  </si>
  <si>
    <t xml:space="preserve">Sugestão da biblioteca · Médio</t>
  </si>
  <si>
    <t xml:space="preserve">Sugestão da biblioteca · Baixo</t>
  </si>
  <si>
    <t xml:space="preserve">AUXILIAR · CUSTO POR HORA A PARTIR DO SALÁRIO</t>
  </si>
  <si>
    <t xml:space="preserve">Salário médio mensal (R$)</t>
  </si>
  <si>
    <t xml:space="preserve">Custo por hora estimado (salário × fator ÷ horas)</t>
  </si>
  <si>
    <t xml:space="preserve">Use o resultado como custo por hora do processo ou como custo por hora padrão.</t>
  </si>
  <si>
    <t xml:space="preserve">LISTAS</t>
  </si>
  <si>
    <t xml:space="preserve">L_Areas</t>
  </si>
  <si>
    <t xml:space="preserve">L_Degraus</t>
  </si>
  <si>
    <t xml:space="preserve">L_Sinais</t>
  </si>
  <si>
    <t xml:space="preserve">L_Status</t>
  </si>
  <si>
    <t xml:space="preserve">L_Freq</t>
  </si>
  <si>
    <t xml:space="preserve">Ativo</t>
  </si>
  <si>
    <t xml:space="preserve">Diária</t>
  </si>
  <si>
    <t xml:space="preserve">Excluído</t>
  </si>
  <si>
    <t xml:space="preserve">Semanal</t>
  </si>
  <si>
    <t xml:space="preserve">Concluído</t>
  </si>
  <si>
    <t xml:space="preserve">Mensal</t>
  </si>
  <si>
    <t xml:space="preserve">08 retrabalho</t>
  </si>
  <si>
    <t xml:space="preserve">14 alto volume</t>
  </si>
  <si>
    <t xml:space="preserve">L_Retrab</t>
  </si>
  <si>
    <t xml:space="preserve">L_Ondas</t>
  </si>
  <si>
    <t xml:space="preserve">L_Destino</t>
  </si>
  <si>
    <t xml:space="preserve">L_StatusProj</t>
  </si>
  <si>
    <t xml:space="preserve">L_Notas</t>
  </si>
  <si>
    <t xml:space="preserve">Receita</t>
  </si>
  <si>
    <t xml:space="preserve">Planejado</t>
  </si>
  <si>
    <t xml:space="preserve">Contratação evitada</t>
  </si>
  <si>
    <t xml:space="preserve">Protótipo</t>
  </si>
  <si>
    <t xml:space="preserve">Horas extras</t>
  </si>
  <si>
    <t xml:space="preserve">Paralelo</t>
  </si>
  <si>
    <t xml:space="preserve">Realocação</t>
  </si>
  <si>
    <t xml:space="preserve">Implantado</t>
  </si>
  <si>
    <t xml:space="preserve">Fora</t>
  </si>
  <si>
    <t xml:space="preserve">Sem destino</t>
  </si>
  <si>
    <t xml:space="preserve">Pausado</t>
  </si>
  <si>
    <t xml:space="preserve">Cancelado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</si>
</sst>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"/>
    <numFmt numFmtId="166" formatCode="#,##0"/>
    <numFmt numFmtId="167" formatCode="General"/>
    <numFmt numFmtId="168" formatCode="#,##0.00"/>
    <numFmt numFmtId="169" formatCode="0%"/>
    <numFmt numFmtId="170" formatCode="0.0"/>
    <numFmt numFmtId="171" formatCode="0.00"/>
    <numFmt numFmtId="172" formatCode="dd/mm/yyyy"/>
    <numFmt numFmtId="173" formatCode="0.0&quot; meses&quot;"/>
    <numFmt numFmtId="174" formatCode="#,##0;\-#,##0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9.5"/>
      <name val="Arial"/>
      <family val="0"/>
      <charset val="1"/>
    </font>
    <font>
      <b val="true"/>
      <u val="single"/>
      <sz val="13"/>
      <color rgb="FFFFFFFF"/>
      <name val="Arial"/>
      <family val="0"/>
      <charset val="1"/>
    </font>
    <font>
      <sz val="9.5"/>
      <name val="Arial"/>
      <family val="0"/>
      <charset val="1"/>
    </font>
    <font>
      <b val="true"/>
      <sz val="11"/>
      <name val="Arial"/>
      <family val="0"/>
      <charset val="1"/>
    </font>
    <font>
      <sz val="9.5"/>
      <color rgb="FF5555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.5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2"/>
    </font>
    <font>
      <b val="true"/>
      <sz val="10"/>
      <color rgb="FF000000"/>
      <name val="Calibri"/>
      <family val="2"/>
    </font>
    <font>
      <sz val="9"/>
      <color rgb="FFC00000"/>
      <name val="Arial"/>
      <family val="0"/>
      <charset val="1"/>
    </font>
    <font>
      <b val="true"/>
      <sz val="9.5"/>
      <color rgb="FFC0000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DDEBF7"/>
        <bgColor rgb="FFE4E4E1"/>
      </patternFill>
    </fill>
    <fill>
      <patternFill patternType="solid">
        <fgColor rgb="FFE4E4E1"/>
        <bgColor rgb="FFDDEBF7"/>
      </patternFill>
    </fill>
    <fill>
      <patternFill patternType="solid">
        <fgColor rgb="FF3A3A3A"/>
        <bgColor rgb="FF333300"/>
      </patternFill>
    </fill>
    <fill>
      <patternFill patternType="solid">
        <fgColor rgb="FFF3F3F1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FCB"/>
      </bottom>
      <diagonal/>
    </border>
    <border diagonalUp="false" diagonalDown="false">
      <left style="thin">
        <color rgb="FFCFCFCB"/>
      </left>
      <right style="thin">
        <color rgb="FFCFCFCB"/>
      </right>
      <top style="thin">
        <color rgb="FFCFCFCB"/>
      </top>
      <bottom style="thin">
        <color rgb="FFCFCFC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6" fillId="3" borderId="2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9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6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9" fontId="16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6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0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6" fillId="3" borderId="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73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1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70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8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6" fillId="3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9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3F3F1"/>
          <bgColor rgb="FF000000"/>
        </patternFill>
      </fill>
    </dxf>
    <dxf>
      <fill>
        <patternFill patternType="solid">
          <fgColor rgb="FF555555"/>
          <bgColor rgb="FF000000"/>
        </patternFill>
      </fill>
    </dxf>
    <dxf>
      <fill>
        <patternFill patternType="solid">
          <fgColor rgb="FFC000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3F3F1"/>
      <rgbColor rgb="FFDDEBF7"/>
      <rgbColor rgb="FF660066"/>
      <rgbColor rgb="FFFF8080"/>
      <rgbColor rgb="FF0066CC"/>
      <rgbColor rgb="FFCFCF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4E1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555555"/>
      <rgbColor rgb="FF878787"/>
      <rgbColor rgb="FF003366"/>
      <rgbColor rgb="FF339966"/>
      <rgbColor rgb="FF003300"/>
      <rgbColor rgb="FF333300"/>
      <rgbColor rgb="FF993300"/>
      <rgbColor rgb="FF993366"/>
      <rgbColor rgb="FF333399"/>
      <rgbColor rgb="FF3A3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Processos por área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00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INÍCIO!$E$25:$E$31</c:f>
              <c:strCache>
                <c:ptCount val="7"/>
                <c:pt idx="0">
                  <c:v>Financeiro</c:v>
                </c:pt>
                <c:pt idx="1">
                  <c:v>Contabilidade e fiscal</c:v>
                </c:pt>
                <c:pt idx="2">
                  <c:v>Comercial</c:v>
                </c:pt>
                <c:pt idx="3">
                  <c:v>Atendimento</c:v>
                </c:pt>
                <c:pt idx="4">
                  <c:v>RH</c:v>
                </c:pt>
                <c:pt idx="5">
                  <c:v>Compras</c:v>
                </c:pt>
                <c:pt idx="6">
                  <c:v>Administrativo e gestão</c:v>
                </c:pt>
              </c:strCache>
            </c:strRef>
          </c:cat>
          <c:val>
            <c:numRef>
              <c:f>INÍCIO!$F$25:$F$31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4591827"/>
        <c:axId val="44296195"/>
      </c:barChart>
      <c:catAx>
        <c:axId val="45918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296195"/>
        <c:crosses val="autoZero"/>
        <c:auto val="1"/>
        <c:lblAlgn val="ctr"/>
        <c:lblOffset val="100"/>
        <c:noMultiLvlLbl val="0"/>
      </c:catAx>
      <c:valAx>
        <c:axId val="442961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9182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Processos por 1º degrau ESPAI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00000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INÍCIO!$E$35:$E$39</c:f>
              <c:strCache>
                <c:ptCount val="5"/>
                <c:pt idx="0">
                  <c:v>E</c:v>
                </c:pt>
                <c:pt idx="1">
                  <c:v>S</c:v>
                </c:pt>
                <c:pt idx="2">
                  <c:v>P</c:v>
                </c:pt>
                <c:pt idx="3">
                  <c:v>A</c:v>
                </c:pt>
                <c:pt idx="4">
                  <c:v>IA</c:v>
                </c:pt>
              </c:strCache>
            </c:strRef>
          </c:cat>
          <c:val>
            <c:numRef>
              <c:f>INÍCIO!$F$35:$F$39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83508128"/>
        <c:axId val="30105522"/>
      </c:barChart>
      <c:catAx>
        <c:axId val="8350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105522"/>
        <c:crosses val="autoZero"/>
        <c:auto val="1"/>
        <c:lblAlgn val="ctr"/>
        <c:lblOffset val="100"/>
        <c:noMultiLvlLbl val="0"/>
      </c:catAx>
      <c:valAx>
        <c:axId val="3010552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50812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Valor × Viabilidade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"Fazer primeiro"</c:f>
              <c:strCache>
                <c:ptCount val="1"/>
                <c:pt idx="0">
                  <c:v>Fazer primeiro</c:v>
                </c:pt>
              </c:strCache>
            </c:strRef>
          </c:tx>
          <c:spPr>
            <a:solidFill>
              <a:srgbClr val="000000"/>
            </a:solidFill>
            <a:ln w="28440">
              <a:noFill/>
            </a:ln>
          </c:spPr>
          <c:marker>
            <c:symbol val="circle"/>
            <c:size val="8"/>
            <c:spPr>
              <a:solidFill>
                <a:srgbClr val="00000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MATRIZ!$X$6:$X$105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xVal>
          <c:yVal>
            <c:numRef>
              <c:f>MATRIZ!$AB$6:$AB$105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"Projeto estratégico"</c:f>
              <c:strCache>
                <c:ptCount val="1"/>
                <c:pt idx="0">
                  <c:v>Projeto estratégico</c:v>
                </c:pt>
              </c:strCache>
            </c:strRef>
          </c:tx>
          <c:spPr>
            <a:solidFill>
              <a:srgbClr val="7f7f7f"/>
            </a:solidFill>
            <a:ln w="28440">
              <a:noFill/>
            </a:ln>
          </c:spPr>
          <c:marker>
            <c:symbol val="square"/>
            <c:size val="8"/>
            <c:spPr>
              <a:solidFill>
                <a:srgbClr val="7f7f7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MATRIZ!$X$6:$X$105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xVal>
          <c:yVal>
            <c:numRef>
              <c:f>MATRIZ!$AC$6:$AC$105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"Quick win"</c:f>
              <c:strCache>
                <c:ptCount val="1"/>
                <c:pt idx="0">
                  <c:v>Quick win</c:v>
                </c:pt>
              </c:strCache>
            </c:strRef>
          </c:tx>
          <c:spPr>
            <a:solidFill>
              <a:srgbClr val="bfbfbf"/>
            </a:solidFill>
            <a:ln w="28440">
              <a:noFill/>
            </a:ln>
          </c:spPr>
          <c:marker>
            <c:symbol val="triangle"/>
            <c:size val="8"/>
            <c:spPr>
              <a:solidFill>
                <a:srgbClr val="bfbfb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MATRIZ!$X$6:$X$105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xVal>
          <c:yVal>
            <c:numRef>
              <c:f>MATRIZ!$AD$6:$AD$105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"Evitar"</c:f>
              <c:strCache>
                <c:ptCount val="1"/>
                <c:pt idx="0">
                  <c:v>Evitar</c:v>
                </c:pt>
              </c:strCache>
            </c:strRef>
          </c:tx>
          <c:spPr>
            <a:solidFill>
              <a:srgbClr val="d9d9d9"/>
            </a:solidFill>
            <a:ln w="28440">
              <a:noFill/>
            </a:ln>
          </c:spPr>
          <c:marker>
            <c:symbol val="diamond"/>
            <c:size val="8"/>
            <c:spPr>
              <a:solidFill>
                <a:srgbClr val="d9d9d9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MATRIZ!$X$6:$X$105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xVal>
          <c:yVal>
            <c:numRef>
              <c:f>MATRIZ!$AE$6:$AE$105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"Com trava de 1ª onda"</c:f>
              <c:strCache>
                <c:ptCount val="1"/>
                <c:pt idx="0">
                  <c:v>Com trava de 1ª onda</c:v>
                </c:pt>
              </c:strCache>
            </c:strRef>
          </c:tx>
          <c:spPr>
            <a:solidFill>
              <a:srgbClr val="c00000"/>
            </a:solidFill>
            <a:ln w="28440">
              <a:noFill/>
            </a:ln>
          </c:spPr>
          <c:marker>
            <c:symbol val="x"/>
            <c:size val="11"/>
            <c:spPr>
              <a:solidFill>
                <a:srgbClr val="c0000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MATRIZ!$X$6:$X$105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xVal>
          <c:yVal>
            <c:numRef>
              <c:f>MATRIZ!$AF$6:$AF$105</c:f>
              <c:numCache>
                <c:formatCode>General</c:formatCode>
                <c:ptCount val="100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>-1</c:v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</c:numCache>
            </c:numRef>
          </c:yVal>
          <c:smooth val="1"/>
        </c:ser>
        <c:ser>
          <c:idx val="5"/>
          <c:order val="5"/>
          <c:spPr>
            <a:solidFill>
              <a:srgbClr val="000000"/>
            </a:solidFill>
            <a:ln w="28440">
              <a:solidFill>
                <a:srgbClr val="000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MATRIZ!$AH$6:$AH$7</c:f>
              <c:numCache>
                <c:formatCode>0.00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xVal>
          <c:yVal>
            <c:numRef>
              <c:f>MATRIZ!$AI$6:$AI$7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yVal>
          <c:smooth val="1"/>
        </c:ser>
        <c:ser>
          <c:idx val="6"/>
          <c:order val="6"/>
          <c:spPr>
            <a:solidFill>
              <a:srgbClr val="000000"/>
            </a:solidFill>
            <a:ln w="28440">
              <a:solidFill>
                <a:srgbClr val="000000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MATRIZ!$AJ$6:$AJ$7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xVal>
          <c:yVal>
            <c:numRef>
              <c:f>MATRIZ!$AK$6:$AK$7</c:f>
              <c:numCache>
                <c:formatCode>0.00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yVal>
          <c:smooth val="1"/>
        </c:ser>
        <c:axId val="145226"/>
        <c:axId val="17190716"/>
      </c:scatterChart>
      <c:valAx>
        <c:axId val="145226"/>
        <c:scaling>
          <c:orientation val="minMax"/>
          <c:max val="1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Índice de Viabilidade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190716"/>
        <c:crosses val="autoZero"/>
        <c:crossBetween val="midCat"/>
      </c:valAx>
      <c:valAx>
        <c:axId val="17190716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Índice de Valor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5226"/>
        <c:crosses val="autoZero"/>
        <c:crossBetween val="midCat"/>
      </c:valAx>
      <c:spPr>
        <a:noFill/>
        <a:ln w="0">
          <a:noFill/>
        </a:ln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40680</xdr:rowOff>
    </xdr:from>
    <xdr:to>
      <xdr:col>3</xdr:col>
      <xdr:colOff>936360</xdr:colOff>
      <xdr:row>52</xdr:row>
      <xdr:rowOff>83880</xdr:rowOff>
    </xdr:to>
    <xdr:graphicFrame>
      <xdr:nvGraphicFramePr>
        <xdr:cNvPr id="0" name="Chart 1"/>
        <xdr:cNvGraphicFramePr/>
      </xdr:nvGraphicFramePr>
      <xdr:xfrm>
        <a:off x="211320" y="762012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39</xdr:row>
      <xdr:rowOff>40680</xdr:rowOff>
    </xdr:from>
    <xdr:to>
      <xdr:col>8</xdr:col>
      <xdr:colOff>302040</xdr:colOff>
      <xdr:row>52</xdr:row>
      <xdr:rowOff>83880</xdr:rowOff>
    </xdr:to>
    <xdr:graphicFrame>
      <xdr:nvGraphicFramePr>
        <xdr:cNvPr id="1" name="Chart 2"/>
        <xdr:cNvGraphicFramePr/>
      </xdr:nvGraphicFramePr>
      <xdr:xfrm>
        <a:off x="4863600" y="7620120"/>
        <a:ext cx="43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0</xdr:colOff>
      <xdr:row>11</xdr:row>
      <xdr:rowOff>131040</xdr:rowOff>
    </xdr:from>
    <xdr:to>
      <xdr:col>23</xdr:col>
      <xdr:colOff>195120</xdr:colOff>
      <xdr:row>32</xdr:row>
      <xdr:rowOff>90000</xdr:rowOff>
    </xdr:to>
    <xdr:graphicFrame>
      <xdr:nvGraphicFramePr>
        <xdr:cNvPr id="2" name="Chart 1"/>
        <xdr:cNvGraphicFramePr/>
      </xdr:nvGraphicFramePr>
      <xdr:xfrm>
        <a:off x="10620360" y="2629080"/>
        <a:ext cx="611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lanilha_Metodo_MAPA_v1.xlsx" TargetMode="External"/><Relationship Id="rId2" Type="http://schemas.openxmlformats.org/officeDocument/2006/relationships/hyperlink" Target="Planilha_Metodo_MAPA_v1.xlsx" TargetMode="External"/><Relationship Id="rId3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7" min="3" style="0" width="18"/>
    <col collapsed="false" customWidth="true" hidden="false" outlineLevel="0" max="8" min="8" style="0" width="3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tr">
        <f aca="false">IF(COUNTIF(Config_Alteracoes,"ALTERADO")&gt;0,"⚠ Configuração alterada em relação ao Método MAPA v1.0 (veja CONFIGURAÇÕES)","Configuração: Método MAPA v1.0")</f>
        <v>Configuração: Método MAPA v1.0</v>
      </c>
    </row>
    <row r="6" customFormat="false" ht="15" hidden="false" customHeight="false" outlineLevel="0" collapsed="false">
      <c r="B6" s="4" t="s">
        <v>2</v>
      </c>
    </row>
    <row r="7" customFormat="false" ht="15" hidden="false" customHeight="false" outlineLevel="0" collapsed="false">
      <c r="B7" s="5" t="s">
        <v>3</v>
      </c>
      <c r="E7" s="5" t="s">
        <v>4</v>
      </c>
    </row>
    <row r="8" customFormat="false" ht="15" hidden="false" customHeight="false" outlineLevel="0" collapsed="false">
      <c r="B8" s="6" t="s">
        <v>5</v>
      </c>
      <c r="E8" s="6" t="s">
        <v>6</v>
      </c>
    </row>
    <row r="10" customFormat="false" ht="1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6" t="s">
        <v>8</v>
      </c>
    </row>
    <row r="12" customFormat="false" ht="15" hidden="false" customHeight="false" outlineLevel="0" collapsed="false">
      <c r="B12" s="6" t="s">
        <v>9</v>
      </c>
    </row>
    <row r="13" customFormat="false" ht="15" hidden="false" customHeight="false" outlineLevel="0" collapsed="false">
      <c r="B13" s="6" t="s">
        <v>10</v>
      </c>
    </row>
    <row r="14" customFormat="false" ht="15" hidden="false" customHeight="false" outlineLevel="0" collapsed="false">
      <c r="B14" s="6" t="s">
        <v>11</v>
      </c>
    </row>
    <row r="15" customFormat="false" ht="15" hidden="false" customHeight="false" outlineLevel="0" collapsed="false">
      <c r="B15" s="6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7" t="s">
        <v>14</v>
      </c>
      <c r="C18" s="6" t="s">
        <v>15</v>
      </c>
    </row>
    <row r="19" customFormat="false" ht="15" hidden="false" customHeight="false" outlineLevel="0" collapsed="false">
      <c r="B19" s="4" t="s">
        <v>16</v>
      </c>
      <c r="C19" s="6" t="s">
        <v>17</v>
      </c>
    </row>
    <row r="20" customFormat="false" ht="15" hidden="false" customHeight="false" outlineLevel="0" collapsed="false">
      <c r="B20" s="8" t="s">
        <v>18</v>
      </c>
      <c r="C20" s="6" t="s">
        <v>19</v>
      </c>
    </row>
    <row r="21" customFormat="false" ht="15" hidden="false" customHeight="false" outlineLevel="0" collapsed="false">
      <c r="B21" s="4" t="s">
        <v>20</v>
      </c>
      <c r="C21" s="6" t="s">
        <v>21</v>
      </c>
    </row>
    <row r="22" customFormat="false" ht="15" hidden="false" customHeight="false" outlineLevel="0" collapsed="false">
      <c r="B22" s="4" t="s">
        <v>22</v>
      </c>
      <c r="C22" s="6" t="s">
        <v>23</v>
      </c>
    </row>
    <row r="24" customFormat="false" ht="15" hidden="false" customHeight="false" outlineLevel="0" collapsed="false">
      <c r="B24" s="4" t="s">
        <v>24</v>
      </c>
      <c r="E24" s="4" t="s">
        <v>25</v>
      </c>
    </row>
    <row r="25" customFormat="false" ht="15" hidden="false" customHeight="false" outlineLevel="0" collapsed="false">
      <c r="B25" s="6" t="s">
        <v>26</v>
      </c>
      <c r="C25" s="9" t="n">
        <f aca="false">SUM(MP_Cons)</f>
        <v>0</v>
      </c>
      <c r="E25" s="6" t="s">
        <v>27</v>
      </c>
      <c r="F25" s="4" t="n">
        <f aca="false">COUNTIFS(MP_Area,E25,MP_Cons,1)</f>
        <v>0</v>
      </c>
    </row>
    <row r="26" customFormat="false" ht="15" hidden="false" customHeight="false" outlineLevel="0" collapsed="false">
      <c r="B26" s="6" t="s">
        <v>28</v>
      </c>
      <c r="C26" s="9" t="n">
        <f aca="false">COUNTIFS('AVALIAÇÃO MAPA'!$AI$6:$AI$105,"Completo",'AVALIAÇÃO MAPA'!$D$6:$D$105,1)</f>
        <v>0</v>
      </c>
      <c r="E26" s="6" t="s">
        <v>29</v>
      </c>
      <c r="F26" s="4" t="n">
        <f aca="false">COUNTIFS(MP_Area,E26,MP_Cons,1)</f>
        <v>0</v>
      </c>
    </row>
    <row r="27" customFormat="false" ht="15" hidden="false" customHeight="false" outlineLevel="0" collapsed="false">
      <c r="B27" s="6" t="s">
        <v>30</v>
      </c>
      <c r="C27" s="10" t="n">
        <f aca="false">SUMIFS('AVALIAÇÃO MAPA'!$V$6:$V$105,'AVALIAÇÃO MAPA'!$D$6:$D$105,1)</f>
        <v>0</v>
      </c>
      <c r="E27" s="6" t="s">
        <v>31</v>
      </c>
      <c r="F27" s="4" t="n">
        <f aca="false">COUNTIFS(MP_Area,E27,MP_Cons,1)</f>
        <v>0</v>
      </c>
    </row>
    <row r="28" customFormat="false" ht="15" hidden="false" customHeight="false" outlineLevel="0" collapsed="false">
      <c r="B28" s="6" t="s">
        <v>32</v>
      </c>
      <c r="C28" s="10" t="n">
        <f aca="false">SUMIFS('AVALIAÇÃO MAPA'!$BB$6:$BB$105,'AVALIAÇÃO MAPA'!$D$6:$D$105,1)</f>
        <v>0</v>
      </c>
      <c r="E28" s="6" t="s">
        <v>33</v>
      </c>
      <c r="F28" s="4" t="n">
        <f aca="false">COUNTIFS(MP_Area,E28,MP_Cons,1)</f>
        <v>0</v>
      </c>
    </row>
    <row r="29" customFormat="false" ht="15" hidden="false" customHeight="false" outlineLevel="0" collapsed="false">
      <c r="B29" s="6" t="s">
        <v>34</v>
      </c>
      <c r="C29" s="10" t="n">
        <f aca="false">SUMIFS('AVALIAÇÃO MAPA'!$AZ$6:$AZ$105,'AVALIAÇÃO MAPA'!$D$6:$D$105,1)</f>
        <v>0</v>
      </c>
      <c r="E29" s="6" t="s">
        <v>35</v>
      </c>
      <c r="F29" s="4" t="n">
        <f aca="false">COUNTIFS(MP_Area,E29,MP_Cons,1)</f>
        <v>0</v>
      </c>
    </row>
    <row r="30" customFormat="false" ht="15" hidden="false" customHeight="false" outlineLevel="0" collapsed="false">
      <c r="B30" s="6" t="s">
        <v>36</v>
      </c>
      <c r="C30" s="10" t="n">
        <f aca="false">SUMIFS('AVALIAÇÃO MAPA'!$BA$6:$BA$105,'AVALIAÇÃO MAPA'!$D$6:$D$105,1)</f>
        <v>0</v>
      </c>
      <c r="E30" s="6" t="s">
        <v>37</v>
      </c>
      <c r="F30" s="4" t="n">
        <f aca="false">COUNTIFS(MP_Area,E30,MP_Cons,1)</f>
        <v>0</v>
      </c>
    </row>
    <row r="31" customFormat="false" ht="15" hidden="false" customHeight="false" outlineLevel="0" collapsed="false">
      <c r="B31" s="6" t="s">
        <v>38</v>
      </c>
      <c r="C31" s="10" t="n">
        <f aca="false">SUMIFS('AVALIAÇÃO MAPA'!$BC$6:$BC$105,'AVALIAÇÃO MAPA'!$D$6:$D$105,1)</f>
        <v>0</v>
      </c>
      <c r="E31" s="6" t="s">
        <v>39</v>
      </c>
      <c r="F31" s="4" t="n">
        <f aca="false">COUNTIFS(MP_Area,E31,MP_Cons,1)</f>
        <v>0</v>
      </c>
    </row>
    <row r="32" customFormat="false" ht="15" hidden="false" customHeight="false" outlineLevel="0" collapsed="false">
      <c r="B32" s="6" t="s">
        <v>40</v>
      </c>
      <c r="C32" s="9" t="n">
        <f aca="false">MATRIZ!Q6</f>
        <v>0</v>
      </c>
    </row>
    <row r="33" customFormat="false" ht="15" hidden="false" customHeight="false" outlineLevel="0" collapsed="false">
      <c r="B33" s="6" t="s">
        <v>41</v>
      </c>
      <c r="C33" s="9" t="n">
        <f aca="false">MATRIZ!Q7</f>
        <v>0</v>
      </c>
    </row>
    <row r="34" customFormat="false" ht="15" hidden="false" customHeight="false" outlineLevel="0" collapsed="false">
      <c r="B34" s="6" t="s">
        <v>42</v>
      </c>
      <c r="C34" s="9" t="n">
        <f aca="false">MATRIZ!Q8</f>
        <v>0</v>
      </c>
      <c r="E34" s="4" t="s">
        <v>43</v>
      </c>
    </row>
    <row r="35" customFormat="false" ht="15" hidden="false" customHeight="false" outlineLevel="0" collapsed="false">
      <c r="B35" s="6" t="s">
        <v>44</v>
      </c>
      <c r="C35" s="9" t="n">
        <f aca="false">MATRIZ!Q9</f>
        <v>0</v>
      </c>
      <c r="E35" s="6" t="s">
        <v>45</v>
      </c>
      <c r="F35" s="4" t="n">
        <f aca="false">COUNTIFS(MP_Deg,E35,MP_Cons,1)</f>
        <v>0</v>
      </c>
    </row>
    <row r="36" customFormat="false" ht="15" hidden="false" customHeight="false" outlineLevel="0" collapsed="false">
      <c r="B36" s="6" t="s">
        <v>46</v>
      </c>
      <c r="C36" s="9" t="n">
        <f aca="false">MATRIZ!Q10</f>
        <v>0</v>
      </c>
      <c r="E36" s="6" t="s">
        <v>47</v>
      </c>
      <c r="F36" s="4" t="n">
        <f aca="false">COUNTIFS(MP_Deg,E36,MP_Cons,1)</f>
        <v>0</v>
      </c>
    </row>
    <row r="37" customFormat="false" ht="15" hidden="false" customHeight="false" outlineLevel="0" collapsed="false">
      <c r="B37" s="6" t="s">
        <v>48</v>
      </c>
      <c r="C37" s="9" t="n">
        <f aca="false">COUNTIFS('AVALIAÇÃO MAPA'!$AR$6:$AR$105,"SIM",'AVALIAÇÃO MAPA'!$D$6:$D$105,1)</f>
        <v>0</v>
      </c>
      <c r="E37" s="6" t="s">
        <v>49</v>
      </c>
      <c r="F37" s="4" t="n">
        <f aca="false">COUNTIFS(MP_Deg,E37,MP_Cons,1)</f>
        <v>0</v>
      </c>
    </row>
    <row r="38" customFormat="false" ht="15" hidden="false" customHeight="false" outlineLevel="0" collapsed="false">
      <c r="B38" s="6" t="s">
        <v>50</v>
      </c>
      <c r="C38" s="9" t="n">
        <f aca="false">COUNTIFS('AVALIAÇÃO MAPA'!$AQ$6:$AQ$105,"SIM",'AVALIAÇÃO MAPA'!$D$6:$D$105,1)</f>
        <v>0</v>
      </c>
      <c r="E38" s="6" t="s">
        <v>51</v>
      </c>
      <c r="F38" s="4" t="n">
        <f aca="false">COUNTIFS(MP_Deg,E38,MP_Cons,1)</f>
        <v>0</v>
      </c>
    </row>
    <row r="39" customFormat="false" ht="15" hidden="false" customHeight="false" outlineLevel="0" collapsed="false">
      <c r="E39" s="6" t="s">
        <v>52</v>
      </c>
      <c r="F39" s="4" t="n">
        <f aca="false">COUNTIFS(MP_Deg,E39,MP_Cons,1)</f>
        <v>0</v>
      </c>
    </row>
    <row r="57" customFormat="false" ht="15" hidden="false" customHeight="true" outlineLevel="0" collapsed="false">
      <c r="B57" s="11" t="s">
        <v>53</v>
      </c>
      <c r="C57" s="11"/>
      <c r="D57" s="11"/>
      <c r="E57" s="11"/>
      <c r="F57" s="11"/>
      <c r="G57" s="11"/>
    </row>
    <row r="58" customFormat="false" ht="15" hidden="false" customHeight="false" outlineLevel="0" collapsed="false">
      <c r="B58" s="11"/>
      <c r="C58" s="11"/>
      <c r="D58" s="11"/>
      <c r="E58" s="11"/>
      <c r="F58" s="11"/>
      <c r="G58" s="11"/>
    </row>
    <row r="59" customFormat="false" ht="15" hidden="false" customHeight="false" outlineLevel="0" collapsed="false">
      <c r="B59" s="11"/>
      <c r="C59" s="11"/>
      <c r="D59" s="11"/>
      <c r="E59" s="11"/>
      <c r="F59" s="11"/>
      <c r="G59" s="11"/>
    </row>
  </sheetData>
  <sheetProtection sheet="true" formatColumns="false" formatRows="false" sort="false" autoFilter="false"/>
  <mergeCells count="1">
    <mergeCell ref="B57:G59"/>
  </mergeCells>
  <hyperlinks>
    <hyperlink ref="B7" r:id="rId1" location="'MEUS%20PROCESSOS'!C6" display="→ Começar do zero"/>
    <hyperlink ref="E7" r:id="rId2" location="'50%20PROCESSOS'!A6" display="→ Explorar os 50 processo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7" min="7" style="0" width="16"/>
    <col collapsed="false" customWidth="true" hidden="false" outlineLevel="0" max="8" min="8" style="0" width="11"/>
    <col collapsed="false" customWidth="true" hidden="false" outlineLevel="0" max="9" min="9" style="0" width="24"/>
    <col collapsed="false" customWidth="true" hidden="false" outlineLevel="0" max="10" min="10" style="0" width="30"/>
    <col collapsed="false" customWidth="true" hidden="false" outlineLevel="0" max="11" min="11" style="0" width="18"/>
    <col collapsed="false" customWidth="true" hidden="false" outlineLevel="0" max="12" min="12" style="0" width="20"/>
    <col collapsed="false" customWidth="true" hidden="false" outlineLevel="0" max="13" min="13" style="0" width="9"/>
    <col collapsed="false" customWidth="true" hidden="false" outlineLevel="0" max="15" min="14" style="0" width="10"/>
    <col collapsed="false" customWidth="true" hidden="false" outlineLevel="0" max="16" min="16" style="0" width="11"/>
    <col collapsed="false" customWidth="true" hidden="false" outlineLevel="0" max="17" min="17" style="0" width="9"/>
    <col collapsed="false" customWidth="true" hidden="false" outlineLevel="0" max="18" min="18" style="0" width="24"/>
  </cols>
  <sheetData>
    <row r="1" customFormat="false" ht="19.7" hidden="false" customHeight="false" outlineLevel="0" collapsed="false">
      <c r="A1" s="12" t="s">
        <v>54</v>
      </c>
    </row>
    <row r="2" customFormat="false" ht="15" hidden="false" customHeight="false" outlineLevel="0" collapsed="false">
      <c r="A2" s="2" t="s">
        <v>55</v>
      </c>
    </row>
    <row r="4" customFormat="false" ht="15" hidden="false" customHeight="false" outlineLevel="0" collapsed="false">
      <c r="B4" s="13" t="s">
        <v>56</v>
      </c>
      <c r="C4" s="13"/>
      <c r="D4" s="13"/>
      <c r="E4" s="13"/>
      <c r="F4" s="13"/>
      <c r="G4" s="13"/>
      <c r="H4" s="13"/>
      <c r="I4" s="13"/>
      <c r="J4" s="13" t="s">
        <v>57</v>
      </c>
      <c r="K4" s="13"/>
      <c r="L4" s="13"/>
      <c r="M4" s="13"/>
      <c r="N4" s="13"/>
      <c r="O4" s="13"/>
      <c r="P4" s="13"/>
      <c r="Q4" s="13"/>
      <c r="R4" s="13"/>
    </row>
    <row r="5" customFormat="false" ht="42" hidden="false" customHeight="true" outlineLevel="0" collapsed="false">
      <c r="A5" s="14" t="s">
        <v>58</v>
      </c>
      <c r="B5" s="14" t="s">
        <v>59</v>
      </c>
      <c r="C5" s="14" t="s">
        <v>60</v>
      </c>
      <c r="D5" s="14" t="s">
        <v>61</v>
      </c>
      <c r="E5" s="14" t="s">
        <v>62</v>
      </c>
      <c r="F5" s="14" t="s">
        <v>63</v>
      </c>
      <c r="G5" s="14" t="s">
        <v>64</v>
      </c>
      <c r="H5" s="14" t="s">
        <v>65</v>
      </c>
      <c r="I5" s="14" t="s">
        <v>66</v>
      </c>
      <c r="J5" s="14" t="s">
        <v>67</v>
      </c>
      <c r="K5" s="14" t="s">
        <v>68</v>
      </c>
      <c r="L5" s="14" t="s">
        <v>69</v>
      </c>
      <c r="M5" s="14" t="s">
        <v>70</v>
      </c>
      <c r="N5" s="14" t="s">
        <v>71</v>
      </c>
      <c r="O5" s="14" t="s">
        <v>72</v>
      </c>
      <c r="P5" s="14" t="s">
        <v>73</v>
      </c>
      <c r="Q5" s="14" t="s">
        <v>74</v>
      </c>
      <c r="R5" s="14" t="s">
        <v>75</v>
      </c>
    </row>
    <row r="6" customFormat="false" ht="15" hidden="false" customHeight="false" outlineLevel="0" collapsed="false">
      <c r="A6" s="15" t="n">
        <v>1</v>
      </c>
      <c r="B6" s="16"/>
      <c r="C6" s="17"/>
      <c r="D6" s="16"/>
      <c r="E6" s="16"/>
      <c r="F6" s="16"/>
      <c r="G6" s="16"/>
      <c r="H6" s="16"/>
      <c r="I6" s="17"/>
      <c r="J6" s="18" t="str">
        <f aca="false">IF($B6&lt;&gt;"",IFERROR(INDEX(Lib_Proc,MATCH($B6,Lib_Cod,0)),"Código inválido"),IF($C6&lt;&gt;"",$C6,""))</f>
        <v/>
      </c>
      <c r="K6" s="15" t="str">
        <f aca="false">IF($B6&lt;&gt;"",IFERROR(INDEX(Lib_Area,MATCH($B6,Lib_Cod,0)),""),IF($C6&lt;&gt;"",$D6,""))</f>
        <v/>
      </c>
      <c r="L6" s="15" t="str">
        <f aca="false">IF($B6&lt;&gt;"",IFERROR(INDEX(Lib_Sinal,MATCH($B6,Lib_Cod,0)),""),IF($C6&lt;&gt;"",$E6,""))</f>
        <v/>
      </c>
      <c r="M6" s="15" t="str">
        <f aca="false">IF($B6&lt;&gt;"",IFERROR(INDEX(Lib_Deg,MATCH($B6,Lib_Cod,0)),""),IF($C6&lt;&gt;"",$F6,""))</f>
        <v/>
      </c>
      <c r="N6" s="15" t="str">
        <f aca="false">IF($B6&lt;&gt;"",IFERROR(INDEX(Lib_PA,MATCH($B6,Lib_Cod,0)),""),"")</f>
        <v/>
      </c>
      <c r="O6" s="15" t="str">
        <f aca="false">IF($B6&lt;&gt;"",IFERROR(INDEX(Lib_PIA,MATCH($B6,Lib_Cod,0)),""),"")</f>
        <v/>
      </c>
      <c r="P6" s="15" t="str">
        <f aca="false">IF($B6&lt;&gt;"","Biblioteca",IF($C6&lt;&gt;"","Própria",""))</f>
        <v/>
      </c>
      <c r="Q6" s="19" t="n">
        <f aca="false">IF(AND($J6&lt;&gt;"",$J6&lt;&gt;"Código inválido",$H6&lt;&gt;"Excluído"),1,0)</f>
        <v>0</v>
      </c>
      <c r="R6" s="18" t="str">
        <f aca="false">IF(AND($B6&lt;&gt;"",$C6&lt;&gt;""),"Use o código OU um nome próprio",IF(AND($B6&lt;&gt;"",COUNTIF($B$6:$B$105,$B6)&gt;1),"Código já cadastrado",IF(AND($C6&lt;&gt;"",OR($D6="",$F6="")),"Informe área e 1º degrau","")))</f>
        <v/>
      </c>
    </row>
    <row r="7" customFormat="false" ht="15" hidden="false" customHeight="false" outlineLevel="0" collapsed="false">
      <c r="A7" s="15" t="n">
        <v>2</v>
      </c>
      <c r="B7" s="16"/>
      <c r="C7" s="17"/>
      <c r="D7" s="16"/>
      <c r="E7" s="16"/>
      <c r="F7" s="16"/>
      <c r="G7" s="16"/>
      <c r="H7" s="16"/>
      <c r="I7" s="17"/>
      <c r="J7" s="18" t="str">
        <f aca="false">IF($B7&lt;&gt;"",IFERROR(INDEX(Lib_Proc,MATCH($B7,Lib_Cod,0)),"Código inválido"),IF($C7&lt;&gt;"",$C7,""))</f>
        <v/>
      </c>
      <c r="K7" s="15" t="str">
        <f aca="false">IF($B7&lt;&gt;"",IFERROR(INDEX(Lib_Area,MATCH($B7,Lib_Cod,0)),""),IF($C7&lt;&gt;"",$D7,""))</f>
        <v/>
      </c>
      <c r="L7" s="15" t="str">
        <f aca="false">IF($B7&lt;&gt;"",IFERROR(INDEX(Lib_Sinal,MATCH($B7,Lib_Cod,0)),""),IF($C7&lt;&gt;"",$E7,""))</f>
        <v/>
      </c>
      <c r="M7" s="15" t="str">
        <f aca="false">IF($B7&lt;&gt;"",IFERROR(INDEX(Lib_Deg,MATCH($B7,Lib_Cod,0)),""),IF($C7&lt;&gt;"",$F7,""))</f>
        <v/>
      </c>
      <c r="N7" s="15" t="str">
        <f aca="false">IF($B7&lt;&gt;"",IFERROR(INDEX(Lib_PA,MATCH($B7,Lib_Cod,0)),""),"")</f>
        <v/>
      </c>
      <c r="O7" s="15" t="str">
        <f aca="false">IF($B7&lt;&gt;"",IFERROR(INDEX(Lib_PIA,MATCH($B7,Lib_Cod,0)),""),"")</f>
        <v/>
      </c>
      <c r="P7" s="15" t="str">
        <f aca="false">IF($B7&lt;&gt;"","Biblioteca",IF($C7&lt;&gt;"","Própria",""))</f>
        <v/>
      </c>
      <c r="Q7" s="19" t="n">
        <f aca="false">IF(AND($J7&lt;&gt;"",$J7&lt;&gt;"Código inválido",$H7&lt;&gt;"Excluído"),1,0)</f>
        <v>0</v>
      </c>
      <c r="R7" s="18" t="str">
        <f aca="false">IF(AND($B7&lt;&gt;"",$C7&lt;&gt;""),"Use o código OU um nome próprio",IF(AND($B7&lt;&gt;"",COUNTIF($B$6:$B$105,$B7)&gt;1),"Código já cadastrado",IF(AND($C7&lt;&gt;"",OR($D7="",$F7="")),"Informe área e 1º degrau","")))</f>
        <v/>
      </c>
    </row>
    <row r="8" customFormat="false" ht="15" hidden="false" customHeight="false" outlineLevel="0" collapsed="false">
      <c r="A8" s="15" t="n">
        <v>3</v>
      </c>
      <c r="B8" s="16"/>
      <c r="C8" s="17"/>
      <c r="D8" s="16"/>
      <c r="E8" s="16"/>
      <c r="F8" s="16"/>
      <c r="G8" s="16"/>
      <c r="H8" s="16"/>
      <c r="I8" s="17"/>
      <c r="J8" s="18" t="str">
        <f aca="false">IF($B8&lt;&gt;"",IFERROR(INDEX(Lib_Proc,MATCH($B8,Lib_Cod,0)),"Código inválido"),IF($C8&lt;&gt;"",$C8,""))</f>
        <v/>
      </c>
      <c r="K8" s="15" t="str">
        <f aca="false">IF($B8&lt;&gt;"",IFERROR(INDEX(Lib_Area,MATCH($B8,Lib_Cod,0)),""),IF($C8&lt;&gt;"",$D8,""))</f>
        <v/>
      </c>
      <c r="L8" s="15" t="str">
        <f aca="false">IF($B8&lt;&gt;"",IFERROR(INDEX(Lib_Sinal,MATCH($B8,Lib_Cod,0)),""),IF($C8&lt;&gt;"",$E8,""))</f>
        <v/>
      </c>
      <c r="M8" s="15" t="str">
        <f aca="false">IF($B8&lt;&gt;"",IFERROR(INDEX(Lib_Deg,MATCH($B8,Lib_Cod,0)),""),IF($C8&lt;&gt;"",$F8,""))</f>
        <v/>
      </c>
      <c r="N8" s="15" t="str">
        <f aca="false">IF($B8&lt;&gt;"",IFERROR(INDEX(Lib_PA,MATCH($B8,Lib_Cod,0)),""),"")</f>
        <v/>
      </c>
      <c r="O8" s="15" t="str">
        <f aca="false">IF($B8&lt;&gt;"",IFERROR(INDEX(Lib_PIA,MATCH($B8,Lib_Cod,0)),""),"")</f>
        <v/>
      </c>
      <c r="P8" s="15" t="str">
        <f aca="false">IF($B8&lt;&gt;"","Biblioteca",IF($C8&lt;&gt;"","Própria",""))</f>
        <v/>
      </c>
      <c r="Q8" s="19" t="n">
        <f aca="false">IF(AND($J8&lt;&gt;"",$J8&lt;&gt;"Código inválido",$H8&lt;&gt;"Excluído"),1,0)</f>
        <v>0</v>
      </c>
      <c r="R8" s="18" t="str">
        <f aca="false">IF(AND($B8&lt;&gt;"",$C8&lt;&gt;""),"Use o código OU um nome próprio",IF(AND($B8&lt;&gt;"",COUNTIF($B$6:$B$105,$B8)&gt;1),"Código já cadastrado",IF(AND($C8&lt;&gt;"",OR($D8="",$F8="")),"Informe área e 1º degrau","")))</f>
        <v/>
      </c>
    </row>
    <row r="9" customFormat="false" ht="15" hidden="false" customHeight="false" outlineLevel="0" collapsed="false">
      <c r="A9" s="15" t="n">
        <v>4</v>
      </c>
      <c r="B9" s="16"/>
      <c r="C9" s="17"/>
      <c r="D9" s="16"/>
      <c r="E9" s="16"/>
      <c r="F9" s="16"/>
      <c r="G9" s="16"/>
      <c r="H9" s="16"/>
      <c r="I9" s="17"/>
      <c r="J9" s="18" t="str">
        <f aca="false">IF($B9&lt;&gt;"",IFERROR(INDEX(Lib_Proc,MATCH($B9,Lib_Cod,0)),"Código inválido"),IF($C9&lt;&gt;"",$C9,""))</f>
        <v/>
      </c>
      <c r="K9" s="15" t="str">
        <f aca="false">IF($B9&lt;&gt;"",IFERROR(INDEX(Lib_Area,MATCH($B9,Lib_Cod,0)),""),IF($C9&lt;&gt;"",$D9,""))</f>
        <v/>
      </c>
      <c r="L9" s="15" t="str">
        <f aca="false">IF($B9&lt;&gt;"",IFERROR(INDEX(Lib_Sinal,MATCH($B9,Lib_Cod,0)),""),IF($C9&lt;&gt;"",$E9,""))</f>
        <v/>
      </c>
      <c r="M9" s="15" t="str">
        <f aca="false">IF($B9&lt;&gt;"",IFERROR(INDEX(Lib_Deg,MATCH($B9,Lib_Cod,0)),""),IF($C9&lt;&gt;"",$F9,""))</f>
        <v/>
      </c>
      <c r="N9" s="15" t="str">
        <f aca="false">IF($B9&lt;&gt;"",IFERROR(INDEX(Lib_PA,MATCH($B9,Lib_Cod,0)),""),"")</f>
        <v/>
      </c>
      <c r="O9" s="15" t="str">
        <f aca="false">IF($B9&lt;&gt;"",IFERROR(INDEX(Lib_PIA,MATCH($B9,Lib_Cod,0)),""),"")</f>
        <v/>
      </c>
      <c r="P9" s="15" t="str">
        <f aca="false">IF($B9&lt;&gt;"","Biblioteca",IF($C9&lt;&gt;"","Própria",""))</f>
        <v/>
      </c>
      <c r="Q9" s="19" t="n">
        <f aca="false">IF(AND($J9&lt;&gt;"",$J9&lt;&gt;"Código inválido",$H9&lt;&gt;"Excluído"),1,0)</f>
        <v>0</v>
      </c>
      <c r="R9" s="18" t="str">
        <f aca="false">IF(AND($B9&lt;&gt;"",$C9&lt;&gt;""),"Use o código OU um nome próprio",IF(AND($B9&lt;&gt;"",COUNTIF($B$6:$B$105,$B9)&gt;1),"Código já cadastrado",IF(AND($C9&lt;&gt;"",OR($D9="",$F9="")),"Informe área e 1º degrau","")))</f>
        <v/>
      </c>
    </row>
    <row r="10" customFormat="false" ht="15" hidden="false" customHeight="false" outlineLevel="0" collapsed="false">
      <c r="A10" s="15" t="n">
        <v>5</v>
      </c>
      <c r="B10" s="16"/>
      <c r="C10" s="17"/>
      <c r="D10" s="16"/>
      <c r="E10" s="16"/>
      <c r="F10" s="16"/>
      <c r="G10" s="16"/>
      <c r="H10" s="16"/>
      <c r="I10" s="17"/>
      <c r="J10" s="18" t="str">
        <f aca="false">IF($B10&lt;&gt;"",IFERROR(INDEX(Lib_Proc,MATCH($B10,Lib_Cod,0)),"Código inválido"),IF($C10&lt;&gt;"",$C10,""))</f>
        <v/>
      </c>
      <c r="K10" s="15" t="str">
        <f aca="false">IF($B10&lt;&gt;"",IFERROR(INDEX(Lib_Area,MATCH($B10,Lib_Cod,0)),""),IF($C10&lt;&gt;"",$D10,""))</f>
        <v/>
      </c>
      <c r="L10" s="15" t="str">
        <f aca="false">IF($B10&lt;&gt;"",IFERROR(INDEX(Lib_Sinal,MATCH($B10,Lib_Cod,0)),""),IF($C10&lt;&gt;"",$E10,""))</f>
        <v/>
      </c>
      <c r="M10" s="15" t="str">
        <f aca="false">IF($B10&lt;&gt;"",IFERROR(INDEX(Lib_Deg,MATCH($B10,Lib_Cod,0)),""),IF($C10&lt;&gt;"",$F10,""))</f>
        <v/>
      </c>
      <c r="N10" s="15" t="str">
        <f aca="false">IF($B10&lt;&gt;"",IFERROR(INDEX(Lib_PA,MATCH($B10,Lib_Cod,0)),""),"")</f>
        <v/>
      </c>
      <c r="O10" s="15" t="str">
        <f aca="false">IF($B10&lt;&gt;"",IFERROR(INDEX(Lib_PIA,MATCH($B10,Lib_Cod,0)),""),"")</f>
        <v/>
      </c>
      <c r="P10" s="15" t="str">
        <f aca="false">IF($B10&lt;&gt;"","Biblioteca",IF($C10&lt;&gt;"","Própria",""))</f>
        <v/>
      </c>
      <c r="Q10" s="19" t="n">
        <f aca="false">IF(AND($J10&lt;&gt;"",$J10&lt;&gt;"Código inválido",$H10&lt;&gt;"Excluído"),1,0)</f>
        <v>0</v>
      </c>
      <c r="R10" s="18" t="str">
        <f aca="false">IF(AND($B10&lt;&gt;"",$C10&lt;&gt;""),"Use o código OU um nome próprio",IF(AND($B10&lt;&gt;"",COUNTIF($B$6:$B$105,$B10)&gt;1),"Código já cadastrado",IF(AND($C10&lt;&gt;"",OR($D10="",$F10="")),"Informe área e 1º degrau","")))</f>
        <v/>
      </c>
    </row>
    <row r="11" customFormat="false" ht="15" hidden="false" customHeight="false" outlineLevel="0" collapsed="false">
      <c r="A11" s="15" t="n">
        <v>6</v>
      </c>
      <c r="B11" s="16"/>
      <c r="C11" s="17"/>
      <c r="D11" s="16"/>
      <c r="E11" s="16"/>
      <c r="F11" s="16"/>
      <c r="G11" s="16"/>
      <c r="H11" s="16"/>
      <c r="I11" s="17"/>
      <c r="J11" s="18" t="str">
        <f aca="false">IF($B11&lt;&gt;"",IFERROR(INDEX(Lib_Proc,MATCH($B11,Lib_Cod,0)),"Código inválido"),IF($C11&lt;&gt;"",$C11,""))</f>
        <v/>
      </c>
      <c r="K11" s="15" t="str">
        <f aca="false">IF($B11&lt;&gt;"",IFERROR(INDEX(Lib_Area,MATCH($B11,Lib_Cod,0)),""),IF($C11&lt;&gt;"",$D11,""))</f>
        <v/>
      </c>
      <c r="L11" s="15" t="str">
        <f aca="false">IF($B11&lt;&gt;"",IFERROR(INDEX(Lib_Sinal,MATCH($B11,Lib_Cod,0)),""),IF($C11&lt;&gt;"",$E11,""))</f>
        <v/>
      </c>
      <c r="M11" s="15" t="str">
        <f aca="false">IF($B11&lt;&gt;"",IFERROR(INDEX(Lib_Deg,MATCH($B11,Lib_Cod,0)),""),IF($C11&lt;&gt;"",$F11,""))</f>
        <v/>
      </c>
      <c r="N11" s="15" t="str">
        <f aca="false">IF($B11&lt;&gt;"",IFERROR(INDEX(Lib_PA,MATCH($B11,Lib_Cod,0)),""),"")</f>
        <v/>
      </c>
      <c r="O11" s="15" t="str">
        <f aca="false">IF($B11&lt;&gt;"",IFERROR(INDEX(Lib_PIA,MATCH($B11,Lib_Cod,0)),""),"")</f>
        <v/>
      </c>
      <c r="P11" s="15" t="str">
        <f aca="false">IF($B11&lt;&gt;"","Biblioteca",IF($C11&lt;&gt;"","Própria",""))</f>
        <v/>
      </c>
      <c r="Q11" s="19" t="n">
        <f aca="false">IF(AND($J11&lt;&gt;"",$J11&lt;&gt;"Código inválido",$H11&lt;&gt;"Excluído"),1,0)</f>
        <v>0</v>
      </c>
      <c r="R11" s="18" t="str">
        <f aca="false">IF(AND($B11&lt;&gt;"",$C11&lt;&gt;""),"Use o código OU um nome próprio",IF(AND($B11&lt;&gt;"",COUNTIF($B$6:$B$105,$B11)&gt;1),"Código já cadastrado",IF(AND($C11&lt;&gt;"",OR($D11="",$F11="")),"Informe área e 1º degrau","")))</f>
        <v/>
      </c>
    </row>
    <row r="12" customFormat="false" ht="15" hidden="false" customHeight="false" outlineLevel="0" collapsed="false">
      <c r="A12" s="15" t="n">
        <v>7</v>
      </c>
      <c r="B12" s="16"/>
      <c r="C12" s="17"/>
      <c r="D12" s="16"/>
      <c r="E12" s="16"/>
      <c r="F12" s="16"/>
      <c r="G12" s="16"/>
      <c r="H12" s="16"/>
      <c r="I12" s="17"/>
      <c r="J12" s="18" t="str">
        <f aca="false">IF($B12&lt;&gt;"",IFERROR(INDEX(Lib_Proc,MATCH($B12,Lib_Cod,0)),"Código inválido"),IF($C12&lt;&gt;"",$C12,""))</f>
        <v/>
      </c>
      <c r="K12" s="15" t="str">
        <f aca="false">IF($B12&lt;&gt;"",IFERROR(INDEX(Lib_Area,MATCH($B12,Lib_Cod,0)),""),IF($C12&lt;&gt;"",$D12,""))</f>
        <v/>
      </c>
      <c r="L12" s="15" t="str">
        <f aca="false">IF($B12&lt;&gt;"",IFERROR(INDEX(Lib_Sinal,MATCH($B12,Lib_Cod,0)),""),IF($C12&lt;&gt;"",$E12,""))</f>
        <v/>
      </c>
      <c r="M12" s="15" t="str">
        <f aca="false">IF($B12&lt;&gt;"",IFERROR(INDEX(Lib_Deg,MATCH($B12,Lib_Cod,0)),""),IF($C12&lt;&gt;"",$F12,""))</f>
        <v/>
      </c>
      <c r="N12" s="15" t="str">
        <f aca="false">IF($B12&lt;&gt;"",IFERROR(INDEX(Lib_PA,MATCH($B12,Lib_Cod,0)),""),"")</f>
        <v/>
      </c>
      <c r="O12" s="15" t="str">
        <f aca="false">IF($B12&lt;&gt;"",IFERROR(INDEX(Lib_PIA,MATCH($B12,Lib_Cod,0)),""),"")</f>
        <v/>
      </c>
      <c r="P12" s="15" t="str">
        <f aca="false">IF($B12&lt;&gt;"","Biblioteca",IF($C12&lt;&gt;"","Própria",""))</f>
        <v/>
      </c>
      <c r="Q12" s="19" t="n">
        <f aca="false">IF(AND($J12&lt;&gt;"",$J12&lt;&gt;"Código inválido",$H12&lt;&gt;"Excluído"),1,0)</f>
        <v>0</v>
      </c>
      <c r="R12" s="18" t="str">
        <f aca="false">IF(AND($B12&lt;&gt;"",$C12&lt;&gt;""),"Use o código OU um nome próprio",IF(AND($B12&lt;&gt;"",COUNTIF($B$6:$B$105,$B12)&gt;1),"Código já cadastrado",IF(AND($C12&lt;&gt;"",OR($D12="",$F12="")),"Informe área e 1º degrau","")))</f>
        <v/>
      </c>
    </row>
    <row r="13" customFormat="false" ht="15" hidden="false" customHeight="false" outlineLevel="0" collapsed="false">
      <c r="A13" s="15" t="n">
        <v>8</v>
      </c>
      <c r="B13" s="16"/>
      <c r="C13" s="17"/>
      <c r="D13" s="16"/>
      <c r="E13" s="16"/>
      <c r="F13" s="16"/>
      <c r="G13" s="16"/>
      <c r="H13" s="16"/>
      <c r="I13" s="17"/>
      <c r="J13" s="18" t="str">
        <f aca="false">IF($B13&lt;&gt;"",IFERROR(INDEX(Lib_Proc,MATCH($B13,Lib_Cod,0)),"Código inválido"),IF($C13&lt;&gt;"",$C13,""))</f>
        <v/>
      </c>
      <c r="K13" s="15" t="str">
        <f aca="false">IF($B13&lt;&gt;"",IFERROR(INDEX(Lib_Area,MATCH($B13,Lib_Cod,0)),""),IF($C13&lt;&gt;"",$D13,""))</f>
        <v/>
      </c>
      <c r="L13" s="15" t="str">
        <f aca="false">IF($B13&lt;&gt;"",IFERROR(INDEX(Lib_Sinal,MATCH($B13,Lib_Cod,0)),""),IF($C13&lt;&gt;"",$E13,""))</f>
        <v/>
      </c>
      <c r="M13" s="15" t="str">
        <f aca="false">IF($B13&lt;&gt;"",IFERROR(INDEX(Lib_Deg,MATCH($B13,Lib_Cod,0)),""),IF($C13&lt;&gt;"",$F13,""))</f>
        <v/>
      </c>
      <c r="N13" s="15" t="str">
        <f aca="false">IF($B13&lt;&gt;"",IFERROR(INDEX(Lib_PA,MATCH($B13,Lib_Cod,0)),""),"")</f>
        <v/>
      </c>
      <c r="O13" s="15" t="str">
        <f aca="false">IF($B13&lt;&gt;"",IFERROR(INDEX(Lib_PIA,MATCH($B13,Lib_Cod,0)),""),"")</f>
        <v/>
      </c>
      <c r="P13" s="15" t="str">
        <f aca="false">IF($B13&lt;&gt;"","Biblioteca",IF($C13&lt;&gt;"","Própria",""))</f>
        <v/>
      </c>
      <c r="Q13" s="19" t="n">
        <f aca="false">IF(AND($J13&lt;&gt;"",$J13&lt;&gt;"Código inválido",$H13&lt;&gt;"Excluído"),1,0)</f>
        <v>0</v>
      </c>
      <c r="R13" s="18" t="str">
        <f aca="false">IF(AND($B13&lt;&gt;"",$C13&lt;&gt;""),"Use o código OU um nome próprio",IF(AND($B13&lt;&gt;"",COUNTIF($B$6:$B$105,$B13)&gt;1),"Código já cadastrado",IF(AND($C13&lt;&gt;"",OR($D13="",$F13="")),"Informe área e 1º degrau","")))</f>
        <v/>
      </c>
    </row>
    <row r="14" customFormat="false" ht="15" hidden="false" customHeight="false" outlineLevel="0" collapsed="false">
      <c r="A14" s="15" t="n">
        <v>9</v>
      </c>
      <c r="B14" s="16"/>
      <c r="C14" s="17"/>
      <c r="D14" s="16"/>
      <c r="E14" s="16"/>
      <c r="F14" s="16"/>
      <c r="G14" s="16"/>
      <c r="H14" s="16"/>
      <c r="I14" s="17"/>
      <c r="J14" s="18" t="str">
        <f aca="false">IF($B14&lt;&gt;"",IFERROR(INDEX(Lib_Proc,MATCH($B14,Lib_Cod,0)),"Código inválido"),IF($C14&lt;&gt;"",$C14,""))</f>
        <v/>
      </c>
      <c r="K14" s="15" t="str">
        <f aca="false">IF($B14&lt;&gt;"",IFERROR(INDEX(Lib_Area,MATCH($B14,Lib_Cod,0)),""),IF($C14&lt;&gt;"",$D14,""))</f>
        <v/>
      </c>
      <c r="L14" s="15" t="str">
        <f aca="false">IF($B14&lt;&gt;"",IFERROR(INDEX(Lib_Sinal,MATCH($B14,Lib_Cod,0)),""),IF($C14&lt;&gt;"",$E14,""))</f>
        <v/>
      </c>
      <c r="M14" s="15" t="str">
        <f aca="false">IF($B14&lt;&gt;"",IFERROR(INDEX(Lib_Deg,MATCH($B14,Lib_Cod,0)),""),IF($C14&lt;&gt;"",$F14,""))</f>
        <v/>
      </c>
      <c r="N14" s="15" t="str">
        <f aca="false">IF($B14&lt;&gt;"",IFERROR(INDEX(Lib_PA,MATCH($B14,Lib_Cod,0)),""),"")</f>
        <v/>
      </c>
      <c r="O14" s="15" t="str">
        <f aca="false">IF($B14&lt;&gt;"",IFERROR(INDEX(Lib_PIA,MATCH($B14,Lib_Cod,0)),""),"")</f>
        <v/>
      </c>
      <c r="P14" s="15" t="str">
        <f aca="false">IF($B14&lt;&gt;"","Biblioteca",IF($C14&lt;&gt;"","Própria",""))</f>
        <v/>
      </c>
      <c r="Q14" s="19" t="n">
        <f aca="false">IF(AND($J14&lt;&gt;"",$J14&lt;&gt;"Código inválido",$H14&lt;&gt;"Excluído"),1,0)</f>
        <v>0</v>
      </c>
      <c r="R14" s="18" t="str">
        <f aca="false">IF(AND($B14&lt;&gt;"",$C14&lt;&gt;""),"Use o código OU um nome próprio",IF(AND($B14&lt;&gt;"",COUNTIF($B$6:$B$105,$B14)&gt;1),"Código já cadastrado",IF(AND($C14&lt;&gt;"",OR($D14="",$F14="")),"Informe área e 1º degrau","")))</f>
        <v/>
      </c>
    </row>
    <row r="15" customFormat="false" ht="15" hidden="false" customHeight="false" outlineLevel="0" collapsed="false">
      <c r="A15" s="15" t="n">
        <v>10</v>
      </c>
      <c r="B15" s="16"/>
      <c r="C15" s="17"/>
      <c r="D15" s="16"/>
      <c r="E15" s="16"/>
      <c r="F15" s="16"/>
      <c r="G15" s="16"/>
      <c r="H15" s="16"/>
      <c r="I15" s="17"/>
      <c r="J15" s="18" t="str">
        <f aca="false">IF($B15&lt;&gt;"",IFERROR(INDEX(Lib_Proc,MATCH($B15,Lib_Cod,0)),"Código inválido"),IF($C15&lt;&gt;"",$C15,""))</f>
        <v/>
      </c>
      <c r="K15" s="15" t="str">
        <f aca="false">IF($B15&lt;&gt;"",IFERROR(INDEX(Lib_Area,MATCH($B15,Lib_Cod,0)),""),IF($C15&lt;&gt;"",$D15,""))</f>
        <v/>
      </c>
      <c r="L15" s="15" t="str">
        <f aca="false">IF($B15&lt;&gt;"",IFERROR(INDEX(Lib_Sinal,MATCH($B15,Lib_Cod,0)),""),IF($C15&lt;&gt;"",$E15,""))</f>
        <v/>
      </c>
      <c r="M15" s="15" t="str">
        <f aca="false">IF($B15&lt;&gt;"",IFERROR(INDEX(Lib_Deg,MATCH($B15,Lib_Cod,0)),""),IF($C15&lt;&gt;"",$F15,""))</f>
        <v/>
      </c>
      <c r="N15" s="15" t="str">
        <f aca="false">IF($B15&lt;&gt;"",IFERROR(INDEX(Lib_PA,MATCH($B15,Lib_Cod,0)),""),"")</f>
        <v/>
      </c>
      <c r="O15" s="15" t="str">
        <f aca="false">IF($B15&lt;&gt;"",IFERROR(INDEX(Lib_PIA,MATCH($B15,Lib_Cod,0)),""),"")</f>
        <v/>
      </c>
      <c r="P15" s="15" t="str">
        <f aca="false">IF($B15&lt;&gt;"","Biblioteca",IF($C15&lt;&gt;"","Própria",""))</f>
        <v/>
      </c>
      <c r="Q15" s="19" t="n">
        <f aca="false">IF(AND($J15&lt;&gt;"",$J15&lt;&gt;"Código inválido",$H15&lt;&gt;"Excluído"),1,0)</f>
        <v>0</v>
      </c>
      <c r="R15" s="18" t="str">
        <f aca="false">IF(AND($B15&lt;&gt;"",$C15&lt;&gt;""),"Use o código OU um nome próprio",IF(AND($B15&lt;&gt;"",COUNTIF($B$6:$B$105,$B15)&gt;1),"Código já cadastrado",IF(AND($C15&lt;&gt;"",OR($D15="",$F15="")),"Informe área e 1º degrau","")))</f>
        <v/>
      </c>
    </row>
    <row r="16" customFormat="false" ht="15" hidden="false" customHeight="false" outlineLevel="0" collapsed="false">
      <c r="A16" s="15" t="n">
        <v>11</v>
      </c>
      <c r="B16" s="16"/>
      <c r="C16" s="17"/>
      <c r="D16" s="16"/>
      <c r="E16" s="16"/>
      <c r="F16" s="16"/>
      <c r="G16" s="16"/>
      <c r="H16" s="16"/>
      <c r="I16" s="17"/>
      <c r="J16" s="18" t="str">
        <f aca="false">IF($B16&lt;&gt;"",IFERROR(INDEX(Lib_Proc,MATCH($B16,Lib_Cod,0)),"Código inválido"),IF($C16&lt;&gt;"",$C16,""))</f>
        <v/>
      </c>
      <c r="K16" s="15" t="str">
        <f aca="false">IF($B16&lt;&gt;"",IFERROR(INDEX(Lib_Area,MATCH($B16,Lib_Cod,0)),""),IF($C16&lt;&gt;"",$D16,""))</f>
        <v/>
      </c>
      <c r="L16" s="15" t="str">
        <f aca="false">IF($B16&lt;&gt;"",IFERROR(INDEX(Lib_Sinal,MATCH($B16,Lib_Cod,0)),""),IF($C16&lt;&gt;"",$E16,""))</f>
        <v/>
      </c>
      <c r="M16" s="15" t="str">
        <f aca="false">IF($B16&lt;&gt;"",IFERROR(INDEX(Lib_Deg,MATCH($B16,Lib_Cod,0)),""),IF($C16&lt;&gt;"",$F16,""))</f>
        <v/>
      </c>
      <c r="N16" s="15" t="str">
        <f aca="false">IF($B16&lt;&gt;"",IFERROR(INDEX(Lib_PA,MATCH($B16,Lib_Cod,0)),""),"")</f>
        <v/>
      </c>
      <c r="O16" s="15" t="str">
        <f aca="false">IF($B16&lt;&gt;"",IFERROR(INDEX(Lib_PIA,MATCH($B16,Lib_Cod,0)),""),"")</f>
        <v/>
      </c>
      <c r="P16" s="15" t="str">
        <f aca="false">IF($B16&lt;&gt;"","Biblioteca",IF($C16&lt;&gt;"","Própria",""))</f>
        <v/>
      </c>
      <c r="Q16" s="19" t="n">
        <f aca="false">IF(AND($J16&lt;&gt;"",$J16&lt;&gt;"Código inválido",$H16&lt;&gt;"Excluído"),1,0)</f>
        <v>0</v>
      </c>
      <c r="R16" s="18" t="str">
        <f aca="false">IF(AND($B16&lt;&gt;"",$C16&lt;&gt;""),"Use o código OU um nome próprio",IF(AND($B16&lt;&gt;"",COUNTIF($B$6:$B$105,$B16)&gt;1),"Código já cadastrado",IF(AND($C16&lt;&gt;"",OR($D16="",$F16="")),"Informe área e 1º degrau","")))</f>
        <v/>
      </c>
    </row>
    <row r="17" customFormat="false" ht="15" hidden="false" customHeight="false" outlineLevel="0" collapsed="false">
      <c r="A17" s="15" t="n">
        <v>12</v>
      </c>
      <c r="B17" s="16"/>
      <c r="C17" s="17"/>
      <c r="D17" s="16"/>
      <c r="E17" s="16"/>
      <c r="F17" s="16"/>
      <c r="G17" s="16"/>
      <c r="H17" s="16"/>
      <c r="I17" s="17"/>
      <c r="J17" s="18" t="str">
        <f aca="false">IF($B17&lt;&gt;"",IFERROR(INDEX(Lib_Proc,MATCH($B17,Lib_Cod,0)),"Código inválido"),IF($C17&lt;&gt;"",$C17,""))</f>
        <v/>
      </c>
      <c r="K17" s="15" t="str">
        <f aca="false">IF($B17&lt;&gt;"",IFERROR(INDEX(Lib_Area,MATCH($B17,Lib_Cod,0)),""),IF($C17&lt;&gt;"",$D17,""))</f>
        <v/>
      </c>
      <c r="L17" s="15" t="str">
        <f aca="false">IF($B17&lt;&gt;"",IFERROR(INDEX(Lib_Sinal,MATCH($B17,Lib_Cod,0)),""),IF($C17&lt;&gt;"",$E17,""))</f>
        <v/>
      </c>
      <c r="M17" s="15" t="str">
        <f aca="false">IF($B17&lt;&gt;"",IFERROR(INDEX(Lib_Deg,MATCH($B17,Lib_Cod,0)),""),IF($C17&lt;&gt;"",$F17,""))</f>
        <v/>
      </c>
      <c r="N17" s="15" t="str">
        <f aca="false">IF($B17&lt;&gt;"",IFERROR(INDEX(Lib_PA,MATCH($B17,Lib_Cod,0)),""),"")</f>
        <v/>
      </c>
      <c r="O17" s="15" t="str">
        <f aca="false">IF($B17&lt;&gt;"",IFERROR(INDEX(Lib_PIA,MATCH($B17,Lib_Cod,0)),""),"")</f>
        <v/>
      </c>
      <c r="P17" s="15" t="str">
        <f aca="false">IF($B17&lt;&gt;"","Biblioteca",IF($C17&lt;&gt;"","Própria",""))</f>
        <v/>
      </c>
      <c r="Q17" s="19" t="n">
        <f aca="false">IF(AND($J17&lt;&gt;"",$J17&lt;&gt;"Código inválido",$H17&lt;&gt;"Excluído"),1,0)</f>
        <v>0</v>
      </c>
      <c r="R17" s="18" t="str">
        <f aca="false">IF(AND($B17&lt;&gt;"",$C17&lt;&gt;""),"Use o código OU um nome próprio",IF(AND($B17&lt;&gt;"",COUNTIF($B$6:$B$105,$B17)&gt;1),"Código já cadastrado",IF(AND($C17&lt;&gt;"",OR($D17="",$F17="")),"Informe área e 1º degrau","")))</f>
        <v/>
      </c>
    </row>
    <row r="18" customFormat="false" ht="15" hidden="false" customHeight="false" outlineLevel="0" collapsed="false">
      <c r="A18" s="15" t="n">
        <v>13</v>
      </c>
      <c r="B18" s="16"/>
      <c r="C18" s="17"/>
      <c r="D18" s="16"/>
      <c r="E18" s="16"/>
      <c r="F18" s="16"/>
      <c r="G18" s="16"/>
      <c r="H18" s="16"/>
      <c r="I18" s="17"/>
      <c r="J18" s="18" t="str">
        <f aca="false">IF($B18&lt;&gt;"",IFERROR(INDEX(Lib_Proc,MATCH($B18,Lib_Cod,0)),"Código inválido"),IF($C18&lt;&gt;"",$C18,""))</f>
        <v/>
      </c>
      <c r="K18" s="15" t="str">
        <f aca="false">IF($B18&lt;&gt;"",IFERROR(INDEX(Lib_Area,MATCH($B18,Lib_Cod,0)),""),IF($C18&lt;&gt;"",$D18,""))</f>
        <v/>
      </c>
      <c r="L18" s="15" t="str">
        <f aca="false">IF($B18&lt;&gt;"",IFERROR(INDEX(Lib_Sinal,MATCH($B18,Lib_Cod,0)),""),IF($C18&lt;&gt;"",$E18,""))</f>
        <v/>
      </c>
      <c r="M18" s="15" t="str">
        <f aca="false">IF($B18&lt;&gt;"",IFERROR(INDEX(Lib_Deg,MATCH($B18,Lib_Cod,0)),""),IF($C18&lt;&gt;"",$F18,""))</f>
        <v/>
      </c>
      <c r="N18" s="15" t="str">
        <f aca="false">IF($B18&lt;&gt;"",IFERROR(INDEX(Lib_PA,MATCH($B18,Lib_Cod,0)),""),"")</f>
        <v/>
      </c>
      <c r="O18" s="15" t="str">
        <f aca="false">IF($B18&lt;&gt;"",IFERROR(INDEX(Lib_PIA,MATCH($B18,Lib_Cod,0)),""),"")</f>
        <v/>
      </c>
      <c r="P18" s="15" t="str">
        <f aca="false">IF($B18&lt;&gt;"","Biblioteca",IF($C18&lt;&gt;"","Própria",""))</f>
        <v/>
      </c>
      <c r="Q18" s="19" t="n">
        <f aca="false">IF(AND($J18&lt;&gt;"",$J18&lt;&gt;"Código inválido",$H18&lt;&gt;"Excluído"),1,0)</f>
        <v>0</v>
      </c>
      <c r="R18" s="18" t="str">
        <f aca="false">IF(AND($B18&lt;&gt;"",$C18&lt;&gt;""),"Use o código OU um nome próprio",IF(AND($B18&lt;&gt;"",COUNTIF($B$6:$B$105,$B18)&gt;1),"Código já cadastrado",IF(AND($C18&lt;&gt;"",OR($D18="",$F18="")),"Informe área e 1º degrau","")))</f>
        <v/>
      </c>
    </row>
    <row r="19" customFormat="false" ht="15" hidden="false" customHeight="false" outlineLevel="0" collapsed="false">
      <c r="A19" s="15" t="n">
        <v>14</v>
      </c>
      <c r="B19" s="16"/>
      <c r="C19" s="17"/>
      <c r="D19" s="16"/>
      <c r="E19" s="16"/>
      <c r="F19" s="16"/>
      <c r="G19" s="16"/>
      <c r="H19" s="16"/>
      <c r="I19" s="17"/>
      <c r="J19" s="18" t="str">
        <f aca="false">IF($B19&lt;&gt;"",IFERROR(INDEX(Lib_Proc,MATCH($B19,Lib_Cod,0)),"Código inválido"),IF($C19&lt;&gt;"",$C19,""))</f>
        <v/>
      </c>
      <c r="K19" s="15" t="str">
        <f aca="false">IF($B19&lt;&gt;"",IFERROR(INDEX(Lib_Area,MATCH($B19,Lib_Cod,0)),""),IF($C19&lt;&gt;"",$D19,""))</f>
        <v/>
      </c>
      <c r="L19" s="15" t="str">
        <f aca="false">IF($B19&lt;&gt;"",IFERROR(INDEX(Lib_Sinal,MATCH($B19,Lib_Cod,0)),""),IF($C19&lt;&gt;"",$E19,""))</f>
        <v/>
      </c>
      <c r="M19" s="15" t="str">
        <f aca="false">IF($B19&lt;&gt;"",IFERROR(INDEX(Lib_Deg,MATCH($B19,Lib_Cod,0)),""),IF($C19&lt;&gt;"",$F19,""))</f>
        <v/>
      </c>
      <c r="N19" s="15" t="str">
        <f aca="false">IF($B19&lt;&gt;"",IFERROR(INDEX(Lib_PA,MATCH($B19,Lib_Cod,0)),""),"")</f>
        <v/>
      </c>
      <c r="O19" s="15" t="str">
        <f aca="false">IF($B19&lt;&gt;"",IFERROR(INDEX(Lib_PIA,MATCH($B19,Lib_Cod,0)),""),"")</f>
        <v/>
      </c>
      <c r="P19" s="15" t="str">
        <f aca="false">IF($B19&lt;&gt;"","Biblioteca",IF($C19&lt;&gt;"","Própria",""))</f>
        <v/>
      </c>
      <c r="Q19" s="19" t="n">
        <f aca="false">IF(AND($J19&lt;&gt;"",$J19&lt;&gt;"Código inválido",$H19&lt;&gt;"Excluído"),1,0)</f>
        <v>0</v>
      </c>
      <c r="R19" s="18" t="str">
        <f aca="false">IF(AND($B19&lt;&gt;"",$C19&lt;&gt;""),"Use o código OU um nome próprio",IF(AND($B19&lt;&gt;"",COUNTIF($B$6:$B$105,$B19)&gt;1),"Código já cadastrado",IF(AND($C19&lt;&gt;"",OR($D19="",$F19="")),"Informe área e 1º degrau","")))</f>
        <v/>
      </c>
    </row>
    <row r="20" customFormat="false" ht="15" hidden="false" customHeight="false" outlineLevel="0" collapsed="false">
      <c r="A20" s="15" t="n">
        <v>15</v>
      </c>
      <c r="B20" s="16"/>
      <c r="C20" s="17"/>
      <c r="D20" s="16"/>
      <c r="E20" s="16"/>
      <c r="F20" s="16"/>
      <c r="G20" s="16"/>
      <c r="H20" s="16"/>
      <c r="I20" s="17"/>
      <c r="J20" s="18" t="str">
        <f aca="false">IF($B20&lt;&gt;"",IFERROR(INDEX(Lib_Proc,MATCH($B20,Lib_Cod,0)),"Código inválido"),IF($C20&lt;&gt;"",$C20,""))</f>
        <v/>
      </c>
      <c r="K20" s="15" t="str">
        <f aca="false">IF($B20&lt;&gt;"",IFERROR(INDEX(Lib_Area,MATCH($B20,Lib_Cod,0)),""),IF($C20&lt;&gt;"",$D20,""))</f>
        <v/>
      </c>
      <c r="L20" s="15" t="str">
        <f aca="false">IF($B20&lt;&gt;"",IFERROR(INDEX(Lib_Sinal,MATCH($B20,Lib_Cod,0)),""),IF($C20&lt;&gt;"",$E20,""))</f>
        <v/>
      </c>
      <c r="M20" s="15" t="str">
        <f aca="false">IF($B20&lt;&gt;"",IFERROR(INDEX(Lib_Deg,MATCH($B20,Lib_Cod,0)),""),IF($C20&lt;&gt;"",$F20,""))</f>
        <v/>
      </c>
      <c r="N20" s="15" t="str">
        <f aca="false">IF($B20&lt;&gt;"",IFERROR(INDEX(Lib_PA,MATCH($B20,Lib_Cod,0)),""),"")</f>
        <v/>
      </c>
      <c r="O20" s="15" t="str">
        <f aca="false">IF($B20&lt;&gt;"",IFERROR(INDEX(Lib_PIA,MATCH($B20,Lib_Cod,0)),""),"")</f>
        <v/>
      </c>
      <c r="P20" s="15" t="str">
        <f aca="false">IF($B20&lt;&gt;"","Biblioteca",IF($C20&lt;&gt;"","Própria",""))</f>
        <v/>
      </c>
      <c r="Q20" s="19" t="n">
        <f aca="false">IF(AND($J20&lt;&gt;"",$J20&lt;&gt;"Código inválido",$H20&lt;&gt;"Excluído"),1,0)</f>
        <v>0</v>
      </c>
      <c r="R20" s="18" t="str">
        <f aca="false">IF(AND($B20&lt;&gt;"",$C20&lt;&gt;""),"Use o código OU um nome próprio",IF(AND($B20&lt;&gt;"",COUNTIF($B$6:$B$105,$B20)&gt;1),"Código já cadastrado",IF(AND($C20&lt;&gt;"",OR($D20="",$F20="")),"Informe área e 1º degrau","")))</f>
        <v/>
      </c>
    </row>
    <row r="21" customFormat="false" ht="15" hidden="false" customHeight="false" outlineLevel="0" collapsed="false">
      <c r="A21" s="15" t="n">
        <v>16</v>
      </c>
      <c r="B21" s="16"/>
      <c r="C21" s="17"/>
      <c r="D21" s="16"/>
      <c r="E21" s="16"/>
      <c r="F21" s="16"/>
      <c r="G21" s="16"/>
      <c r="H21" s="16"/>
      <c r="I21" s="17"/>
      <c r="J21" s="18" t="str">
        <f aca="false">IF($B21&lt;&gt;"",IFERROR(INDEX(Lib_Proc,MATCH($B21,Lib_Cod,0)),"Código inválido"),IF($C21&lt;&gt;"",$C21,""))</f>
        <v/>
      </c>
      <c r="K21" s="15" t="str">
        <f aca="false">IF($B21&lt;&gt;"",IFERROR(INDEX(Lib_Area,MATCH($B21,Lib_Cod,0)),""),IF($C21&lt;&gt;"",$D21,""))</f>
        <v/>
      </c>
      <c r="L21" s="15" t="str">
        <f aca="false">IF($B21&lt;&gt;"",IFERROR(INDEX(Lib_Sinal,MATCH($B21,Lib_Cod,0)),""),IF($C21&lt;&gt;"",$E21,""))</f>
        <v/>
      </c>
      <c r="M21" s="15" t="str">
        <f aca="false">IF($B21&lt;&gt;"",IFERROR(INDEX(Lib_Deg,MATCH($B21,Lib_Cod,0)),""),IF($C21&lt;&gt;"",$F21,""))</f>
        <v/>
      </c>
      <c r="N21" s="15" t="str">
        <f aca="false">IF($B21&lt;&gt;"",IFERROR(INDEX(Lib_PA,MATCH($B21,Lib_Cod,0)),""),"")</f>
        <v/>
      </c>
      <c r="O21" s="15" t="str">
        <f aca="false">IF($B21&lt;&gt;"",IFERROR(INDEX(Lib_PIA,MATCH($B21,Lib_Cod,0)),""),"")</f>
        <v/>
      </c>
      <c r="P21" s="15" t="str">
        <f aca="false">IF($B21&lt;&gt;"","Biblioteca",IF($C21&lt;&gt;"","Própria",""))</f>
        <v/>
      </c>
      <c r="Q21" s="19" t="n">
        <f aca="false">IF(AND($J21&lt;&gt;"",$J21&lt;&gt;"Código inválido",$H21&lt;&gt;"Excluído"),1,0)</f>
        <v>0</v>
      </c>
      <c r="R21" s="18" t="str">
        <f aca="false">IF(AND($B21&lt;&gt;"",$C21&lt;&gt;""),"Use o código OU um nome próprio",IF(AND($B21&lt;&gt;"",COUNTIF($B$6:$B$105,$B21)&gt;1),"Código já cadastrado",IF(AND($C21&lt;&gt;"",OR($D21="",$F21="")),"Informe área e 1º degrau","")))</f>
        <v/>
      </c>
    </row>
    <row r="22" customFormat="false" ht="15" hidden="false" customHeight="false" outlineLevel="0" collapsed="false">
      <c r="A22" s="15" t="n">
        <v>17</v>
      </c>
      <c r="B22" s="16"/>
      <c r="C22" s="17"/>
      <c r="D22" s="16"/>
      <c r="E22" s="16"/>
      <c r="F22" s="16"/>
      <c r="G22" s="16"/>
      <c r="H22" s="16"/>
      <c r="I22" s="17"/>
      <c r="J22" s="18" t="str">
        <f aca="false">IF($B22&lt;&gt;"",IFERROR(INDEX(Lib_Proc,MATCH($B22,Lib_Cod,0)),"Código inválido"),IF($C22&lt;&gt;"",$C22,""))</f>
        <v/>
      </c>
      <c r="K22" s="15" t="str">
        <f aca="false">IF($B22&lt;&gt;"",IFERROR(INDEX(Lib_Area,MATCH($B22,Lib_Cod,0)),""),IF($C22&lt;&gt;"",$D22,""))</f>
        <v/>
      </c>
      <c r="L22" s="15" t="str">
        <f aca="false">IF($B22&lt;&gt;"",IFERROR(INDEX(Lib_Sinal,MATCH($B22,Lib_Cod,0)),""),IF($C22&lt;&gt;"",$E22,""))</f>
        <v/>
      </c>
      <c r="M22" s="15" t="str">
        <f aca="false">IF($B22&lt;&gt;"",IFERROR(INDEX(Lib_Deg,MATCH($B22,Lib_Cod,0)),""),IF($C22&lt;&gt;"",$F22,""))</f>
        <v/>
      </c>
      <c r="N22" s="15" t="str">
        <f aca="false">IF($B22&lt;&gt;"",IFERROR(INDEX(Lib_PA,MATCH($B22,Lib_Cod,0)),""),"")</f>
        <v/>
      </c>
      <c r="O22" s="15" t="str">
        <f aca="false">IF($B22&lt;&gt;"",IFERROR(INDEX(Lib_PIA,MATCH($B22,Lib_Cod,0)),""),"")</f>
        <v/>
      </c>
      <c r="P22" s="15" t="str">
        <f aca="false">IF($B22&lt;&gt;"","Biblioteca",IF($C22&lt;&gt;"","Própria",""))</f>
        <v/>
      </c>
      <c r="Q22" s="19" t="n">
        <f aca="false">IF(AND($J22&lt;&gt;"",$J22&lt;&gt;"Código inválido",$H22&lt;&gt;"Excluído"),1,0)</f>
        <v>0</v>
      </c>
      <c r="R22" s="18" t="str">
        <f aca="false">IF(AND($B22&lt;&gt;"",$C22&lt;&gt;""),"Use o código OU um nome próprio",IF(AND($B22&lt;&gt;"",COUNTIF($B$6:$B$105,$B22)&gt;1),"Código já cadastrado",IF(AND($C22&lt;&gt;"",OR($D22="",$F22="")),"Informe área e 1º degrau","")))</f>
        <v/>
      </c>
    </row>
    <row r="23" customFormat="false" ht="15" hidden="false" customHeight="false" outlineLevel="0" collapsed="false">
      <c r="A23" s="15" t="n">
        <v>18</v>
      </c>
      <c r="B23" s="16"/>
      <c r="C23" s="17"/>
      <c r="D23" s="16"/>
      <c r="E23" s="16"/>
      <c r="F23" s="16"/>
      <c r="G23" s="16"/>
      <c r="H23" s="16"/>
      <c r="I23" s="17"/>
      <c r="J23" s="18" t="str">
        <f aca="false">IF($B23&lt;&gt;"",IFERROR(INDEX(Lib_Proc,MATCH($B23,Lib_Cod,0)),"Código inválido"),IF($C23&lt;&gt;"",$C23,""))</f>
        <v/>
      </c>
      <c r="K23" s="15" t="str">
        <f aca="false">IF($B23&lt;&gt;"",IFERROR(INDEX(Lib_Area,MATCH($B23,Lib_Cod,0)),""),IF($C23&lt;&gt;"",$D23,""))</f>
        <v/>
      </c>
      <c r="L23" s="15" t="str">
        <f aca="false">IF($B23&lt;&gt;"",IFERROR(INDEX(Lib_Sinal,MATCH($B23,Lib_Cod,0)),""),IF($C23&lt;&gt;"",$E23,""))</f>
        <v/>
      </c>
      <c r="M23" s="15" t="str">
        <f aca="false">IF($B23&lt;&gt;"",IFERROR(INDEX(Lib_Deg,MATCH($B23,Lib_Cod,0)),""),IF($C23&lt;&gt;"",$F23,""))</f>
        <v/>
      </c>
      <c r="N23" s="15" t="str">
        <f aca="false">IF($B23&lt;&gt;"",IFERROR(INDEX(Lib_PA,MATCH($B23,Lib_Cod,0)),""),"")</f>
        <v/>
      </c>
      <c r="O23" s="15" t="str">
        <f aca="false">IF($B23&lt;&gt;"",IFERROR(INDEX(Lib_PIA,MATCH($B23,Lib_Cod,0)),""),"")</f>
        <v/>
      </c>
      <c r="P23" s="15" t="str">
        <f aca="false">IF($B23&lt;&gt;"","Biblioteca",IF($C23&lt;&gt;"","Própria",""))</f>
        <v/>
      </c>
      <c r="Q23" s="19" t="n">
        <f aca="false">IF(AND($J23&lt;&gt;"",$J23&lt;&gt;"Código inválido",$H23&lt;&gt;"Excluído"),1,0)</f>
        <v>0</v>
      </c>
      <c r="R23" s="18" t="str">
        <f aca="false">IF(AND($B23&lt;&gt;"",$C23&lt;&gt;""),"Use o código OU um nome próprio",IF(AND($B23&lt;&gt;"",COUNTIF($B$6:$B$105,$B23)&gt;1),"Código já cadastrado",IF(AND($C23&lt;&gt;"",OR($D23="",$F23="")),"Informe área e 1º degrau","")))</f>
        <v/>
      </c>
    </row>
    <row r="24" customFormat="false" ht="15" hidden="false" customHeight="false" outlineLevel="0" collapsed="false">
      <c r="A24" s="15" t="n">
        <v>19</v>
      </c>
      <c r="B24" s="16"/>
      <c r="C24" s="17"/>
      <c r="D24" s="16"/>
      <c r="E24" s="16"/>
      <c r="F24" s="16"/>
      <c r="G24" s="16"/>
      <c r="H24" s="16"/>
      <c r="I24" s="17"/>
      <c r="J24" s="18" t="str">
        <f aca="false">IF($B24&lt;&gt;"",IFERROR(INDEX(Lib_Proc,MATCH($B24,Lib_Cod,0)),"Código inválido"),IF($C24&lt;&gt;"",$C24,""))</f>
        <v/>
      </c>
      <c r="K24" s="15" t="str">
        <f aca="false">IF($B24&lt;&gt;"",IFERROR(INDEX(Lib_Area,MATCH($B24,Lib_Cod,0)),""),IF($C24&lt;&gt;"",$D24,""))</f>
        <v/>
      </c>
      <c r="L24" s="15" t="str">
        <f aca="false">IF($B24&lt;&gt;"",IFERROR(INDEX(Lib_Sinal,MATCH($B24,Lib_Cod,0)),""),IF($C24&lt;&gt;"",$E24,""))</f>
        <v/>
      </c>
      <c r="M24" s="15" t="str">
        <f aca="false">IF($B24&lt;&gt;"",IFERROR(INDEX(Lib_Deg,MATCH($B24,Lib_Cod,0)),""),IF($C24&lt;&gt;"",$F24,""))</f>
        <v/>
      </c>
      <c r="N24" s="15" t="str">
        <f aca="false">IF($B24&lt;&gt;"",IFERROR(INDEX(Lib_PA,MATCH($B24,Lib_Cod,0)),""),"")</f>
        <v/>
      </c>
      <c r="O24" s="15" t="str">
        <f aca="false">IF($B24&lt;&gt;"",IFERROR(INDEX(Lib_PIA,MATCH($B24,Lib_Cod,0)),""),"")</f>
        <v/>
      </c>
      <c r="P24" s="15" t="str">
        <f aca="false">IF($B24&lt;&gt;"","Biblioteca",IF($C24&lt;&gt;"","Própria",""))</f>
        <v/>
      </c>
      <c r="Q24" s="19" t="n">
        <f aca="false">IF(AND($J24&lt;&gt;"",$J24&lt;&gt;"Código inválido",$H24&lt;&gt;"Excluído"),1,0)</f>
        <v>0</v>
      </c>
      <c r="R24" s="18" t="str">
        <f aca="false">IF(AND($B24&lt;&gt;"",$C24&lt;&gt;""),"Use o código OU um nome próprio",IF(AND($B24&lt;&gt;"",COUNTIF($B$6:$B$105,$B24)&gt;1),"Código já cadastrado",IF(AND($C24&lt;&gt;"",OR($D24="",$F24="")),"Informe área e 1º degrau","")))</f>
        <v/>
      </c>
    </row>
    <row r="25" customFormat="false" ht="15" hidden="false" customHeight="false" outlineLevel="0" collapsed="false">
      <c r="A25" s="15" t="n">
        <v>20</v>
      </c>
      <c r="B25" s="16"/>
      <c r="C25" s="17"/>
      <c r="D25" s="16"/>
      <c r="E25" s="16"/>
      <c r="F25" s="16"/>
      <c r="G25" s="16"/>
      <c r="H25" s="16"/>
      <c r="I25" s="17"/>
      <c r="J25" s="18" t="str">
        <f aca="false">IF($B25&lt;&gt;"",IFERROR(INDEX(Lib_Proc,MATCH($B25,Lib_Cod,0)),"Código inválido"),IF($C25&lt;&gt;"",$C25,""))</f>
        <v/>
      </c>
      <c r="K25" s="15" t="str">
        <f aca="false">IF($B25&lt;&gt;"",IFERROR(INDEX(Lib_Area,MATCH($B25,Lib_Cod,0)),""),IF($C25&lt;&gt;"",$D25,""))</f>
        <v/>
      </c>
      <c r="L25" s="15" t="str">
        <f aca="false">IF($B25&lt;&gt;"",IFERROR(INDEX(Lib_Sinal,MATCH($B25,Lib_Cod,0)),""),IF($C25&lt;&gt;"",$E25,""))</f>
        <v/>
      </c>
      <c r="M25" s="15" t="str">
        <f aca="false">IF($B25&lt;&gt;"",IFERROR(INDEX(Lib_Deg,MATCH($B25,Lib_Cod,0)),""),IF($C25&lt;&gt;"",$F25,""))</f>
        <v/>
      </c>
      <c r="N25" s="15" t="str">
        <f aca="false">IF($B25&lt;&gt;"",IFERROR(INDEX(Lib_PA,MATCH($B25,Lib_Cod,0)),""),"")</f>
        <v/>
      </c>
      <c r="O25" s="15" t="str">
        <f aca="false">IF($B25&lt;&gt;"",IFERROR(INDEX(Lib_PIA,MATCH($B25,Lib_Cod,0)),""),"")</f>
        <v/>
      </c>
      <c r="P25" s="15" t="str">
        <f aca="false">IF($B25&lt;&gt;"","Biblioteca",IF($C25&lt;&gt;"","Própria",""))</f>
        <v/>
      </c>
      <c r="Q25" s="19" t="n">
        <f aca="false">IF(AND($J25&lt;&gt;"",$J25&lt;&gt;"Código inválido",$H25&lt;&gt;"Excluído"),1,0)</f>
        <v>0</v>
      </c>
      <c r="R25" s="18" t="str">
        <f aca="false">IF(AND($B25&lt;&gt;"",$C25&lt;&gt;""),"Use o código OU um nome próprio",IF(AND($B25&lt;&gt;"",COUNTIF($B$6:$B$105,$B25)&gt;1),"Código já cadastrado",IF(AND($C25&lt;&gt;"",OR($D25="",$F25="")),"Informe área e 1º degrau","")))</f>
        <v/>
      </c>
    </row>
    <row r="26" customFormat="false" ht="15" hidden="false" customHeight="false" outlineLevel="0" collapsed="false">
      <c r="A26" s="15" t="n">
        <v>21</v>
      </c>
      <c r="B26" s="16"/>
      <c r="C26" s="17"/>
      <c r="D26" s="16"/>
      <c r="E26" s="16"/>
      <c r="F26" s="16"/>
      <c r="G26" s="16"/>
      <c r="H26" s="16"/>
      <c r="I26" s="17"/>
      <c r="J26" s="18" t="str">
        <f aca="false">IF($B26&lt;&gt;"",IFERROR(INDEX(Lib_Proc,MATCH($B26,Lib_Cod,0)),"Código inválido"),IF($C26&lt;&gt;"",$C26,""))</f>
        <v/>
      </c>
      <c r="K26" s="15" t="str">
        <f aca="false">IF($B26&lt;&gt;"",IFERROR(INDEX(Lib_Area,MATCH($B26,Lib_Cod,0)),""),IF($C26&lt;&gt;"",$D26,""))</f>
        <v/>
      </c>
      <c r="L26" s="15" t="str">
        <f aca="false">IF($B26&lt;&gt;"",IFERROR(INDEX(Lib_Sinal,MATCH($B26,Lib_Cod,0)),""),IF($C26&lt;&gt;"",$E26,""))</f>
        <v/>
      </c>
      <c r="M26" s="15" t="str">
        <f aca="false">IF($B26&lt;&gt;"",IFERROR(INDEX(Lib_Deg,MATCH($B26,Lib_Cod,0)),""),IF($C26&lt;&gt;"",$F26,""))</f>
        <v/>
      </c>
      <c r="N26" s="15" t="str">
        <f aca="false">IF($B26&lt;&gt;"",IFERROR(INDEX(Lib_PA,MATCH($B26,Lib_Cod,0)),""),"")</f>
        <v/>
      </c>
      <c r="O26" s="15" t="str">
        <f aca="false">IF($B26&lt;&gt;"",IFERROR(INDEX(Lib_PIA,MATCH($B26,Lib_Cod,0)),""),"")</f>
        <v/>
      </c>
      <c r="P26" s="15" t="str">
        <f aca="false">IF($B26&lt;&gt;"","Biblioteca",IF($C26&lt;&gt;"","Própria",""))</f>
        <v/>
      </c>
      <c r="Q26" s="19" t="n">
        <f aca="false">IF(AND($J26&lt;&gt;"",$J26&lt;&gt;"Código inválido",$H26&lt;&gt;"Excluído"),1,0)</f>
        <v>0</v>
      </c>
      <c r="R26" s="18" t="str">
        <f aca="false">IF(AND($B26&lt;&gt;"",$C26&lt;&gt;""),"Use o código OU um nome próprio",IF(AND($B26&lt;&gt;"",COUNTIF($B$6:$B$105,$B26)&gt;1),"Código já cadastrado",IF(AND($C26&lt;&gt;"",OR($D26="",$F26="")),"Informe área e 1º degrau","")))</f>
        <v/>
      </c>
    </row>
    <row r="27" customFormat="false" ht="15" hidden="false" customHeight="false" outlineLevel="0" collapsed="false">
      <c r="A27" s="15" t="n">
        <v>22</v>
      </c>
      <c r="B27" s="16"/>
      <c r="C27" s="17"/>
      <c r="D27" s="16"/>
      <c r="E27" s="16"/>
      <c r="F27" s="16"/>
      <c r="G27" s="16"/>
      <c r="H27" s="16"/>
      <c r="I27" s="17"/>
      <c r="J27" s="18" t="str">
        <f aca="false">IF($B27&lt;&gt;"",IFERROR(INDEX(Lib_Proc,MATCH($B27,Lib_Cod,0)),"Código inválido"),IF($C27&lt;&gt;"",$C27,""))</f>
        <v/>
      </c>
      <c r="K27" s="15" t="str">
        <f aca="false">IF($B27&lt;&gt;"",IFERROR(INDEX(Lib_Area,MATCH($B27,Lib_Cod,0)),""),IF($C27&lt;&gt;"",$D27,""))</f>
        <v/>
      </c>
      <c r="L27" s="15" t="str">
        <f aca="false">IF($B27&lt;&gt;"",IFERROR(INDEX(Lib_Sinal,MATCH($B27,Lib_Cod,0)),""),IF($C27&lt;&gt;"",$E27,""))</f>
        <v/>
      </c>
      <c r="M27" s="15" t="str">
        <f aca="false">IF($B27&lt;&gt;"",IFERROR(INDEX(Lib_Deg,MATCH($B27,Lib_Cod,0)),""),IF($C27&lt;&gt;"",$F27,""))</f>
        <v/>
      </c>
      <c r="N27" s="15" t="str">
        <f aca="false">IF($B27&lt;&gt;"",IFERROR(INDEX(Lib_PA,MATCH($B27,Lib_Cod,0)),""),"")</f>
        <v/>
      </c>
      <c r="O27" s="15" t="str">
        <f aca="false">IF($B27&lt;&gt;"",IFERROR(INDEX(Lib_PIA,MATCH($B27,Lib_Cod,0)),""),"")</f>
        <v/>
      </c>
      <c r="P27" s="15" t="str">
        <f aca="false">IF($B27&lt;&gt;"","Biblioteca",IF($C27&lt;&gt;"","Própria",""))</f>
        <v/>
      </c>
      <c r="Q27" s="19" t="n">
        <f aca="false">IF(AND($J27&lt;&gt;"",$J27&lt;&gt;"Código inválido",$H27&lt;&gt;"Excluído"),1,0)</f>
        <v>0</v>
      </c>
      <c r="R27" s="18" t="str">
        <f aca="false">IF(AND($B27&lt;&gt;"",$C27&lt;&gt;""),"Use o código OU um nome próprio",IF(AND($B27&lt;&gt;"",COUNTIF($B$6:$B$105,$B27)&gt;1),"Código já cadastrado",IF(AND($C27&lt;&gt;"",OR($D27="",$F27="")),"Informe área e 1º degrau","")))</f>
        <v/>
      </c>
    </row>
    <row r="28" customFormat="false" ht="15" hidden="false" customHeight="false" outlineLevel="0" collapsed="false">
      <c r="A28" s="15" t="n">
        <v>23</v>
      </c>
      <c r="B28" s="16"/>
      <c r="C28" s="17"/>
      <c r="D28" s="16"/>
      <c r="E28" s="16"/>
      <c r="F28" s="16"/>
      <c r="G28" s="16"/>
      <c r="H28" s="16"/>
      <c r="I28" s="17"/>
      <c r="J28" s="18" t="str">
        <f aca="false">IF($B28&lt;&gt;"",IFERROR(INDEX(Lib_Proc,MATCH($B28,Lib_Cod,0)),"Código inválido"),IF($C28&lt;&gt;"",$C28,""))</f>
        <v/>
      </c>
      <c r="K28" s="15" t="str">
        <f aca="false">IF($B28&lt;&gt;"",IFERROR(INDEX(Lib_Area,MATCH($B28,Lib_Cod,0)),""),IF($C28&lt;&gt;"",$D28,""))</f>
        <v/>
      </c>
      <c r="L28" s="15" t="str">
        <f aca="false">IF($B28&lt;&gt;"",IFERROR(INDEX(Lib_Sinal,MATCH($B28,Lib_Cod,0)),""),IF($C28&lt;&gt;"",$E28,""))</f>
        <v/>
      </c>
      <c r="M28" s="15" t="str">
        <f aca="false">IF($B28&lt;&gt;"",IFERROR(INDEX(Lib_Deg,MATCH($B28,Lib_Cod,0)),""),IF($C28&lt;&gt;"",$F28,""))</f>
        <v/>
      </c>
      <c r="N28" s="15" t="str">
        <f aca="false">IF($B28&lt;&gt;"",IFERROR(INDEX(Lib_PA,MATCH($B28,Lib_Cod,0)),""),"")</f>
        <v/>
      </c>
      <c r="O28" s="15" t="str">
        <f aca="false">IF($B28&lt;&gt;"",IFERROR(INDEX(Lib_PIA,MATCH($B28,Lib_Cod,0)),""),"")</f>
        <v/>
      </c>
      <c r="P28" s="15" t="str">
        <f aca="false">IF($B28&lt;&gt;"","Biblioteca",IF($C28&lt;&gt;"","Própria",""))</f>
        <v/>
      </c>
      <c r="Q28" s="19" t="n">
        <f aca="false">IF(AND($J28&lt;&gt;"",$J28&lt;&gt;"Código inválido",$H28&lt;&gt;"Excluído"),1,0)</f>
        <v>0</v>
      </c>
      <c r="R28" s="18" t="str">
        <f aca="false">IF(AND($B28&lt;&gt;"",$C28&lt;&gt;""),"Use o código OU um nome próprio",IF(AND($B28&lt;&gt;"",COUNTIF($B$6:$B$105,$B28)&gt;1),"Código já cadastrado",IF(AND($C28&lt;&gt;"",OR($D28="",$F28="")),"Informe área e 1º degrau","")))</f>
        <v/>
      </c>
    </row>
    <row r="29" customFormat="false" ht="15" hidden="false" customHeight="false" outlineLevel="0" collapsed="false">
      <c r="A29" s="15" t="n">
        <v>24</v>
      </c>
      <c r="B29" s="16"/>
      <c r="C29" s="17"/>
      <c r="D29" s="16"/>
      <c r="E29" s="16"/>
      <c r="F29" s="16"/>
      <c r="G29" s="16"/>
      <c r="H29" s="16"/>
      <c r="I29" s="17"/>
      <c r="J29" s="18" t="str">
        <f aca="false">IF($B29&lt;&gt;"",IFERROR(INDEX(Lib_Proc,MATCH($B29,Lib_Cod,0)),"Código inválido"),IF($C29&lt;&gt;"",$C29,""))</f>
        <v/>
      </c>
      <c r="K29" s="15" t="str">
        <f aca="false">IF($B29&lt;&gt;"",IFERROR(INDEX(Lib_Area,MATCH($B29,Lib_Cod,0)),""),IF($C29&lt;&gt;"",$D29,""))</f>
        <v/>
      </c>
      <c r="L29" s="15" t="str">
        <f aca="false">IF($B29&lt;&gt;"",IFERROR(INDEX(Lib_Sinal,MATCH($B29,Lib_Cod,0)),""),IF($C29&lt;&gt;"",$E29,""))</f>
        <v/>
      </c>
      <c r="M29" s="15" t="str">
        <f aca="false">IF($B29&lt;&gt;"",IFERROR(INDEX(Lib_Deg,MATCH($B29,Lib_Cod,0)),""),IF($C29&lt;&gt;"",$F29,""))</f>
        <v/>
      </c>
      <c r="N29" s="15" t="str">
        <f aca="false">IF($B29&lt;&gt;"",IFERROR(INDEX(Lib_PA,MATCH($B29,Lib_Cod,0)),""),"")</f>
        <v/>
      </c>
      <c r="O29" s="15" t="str">
        <f aca="false">IF($B29&lt;&gt;"",IFERROR(INDEX(Lib_PIA,MATCH($B29,Lib_Cod,0)),""),"")</f>
        <v/>
      </c>
      <c r="P29" s="15" t="str">
        <f aca="false">IF($B29&lt;&gt;"","Biblioteca",IF($C29&lt;&gt;"","Própria",""))</f>
        <v/>
      </c>
      <c r="Q29" s="19" t="n">
        <f aca="false">IF(AND($J29&lt;&gt;"",$J29&lt;&gt;"Código inválido",$H29&lt;&gt;"Excluído"),1,0)</f>
        <v>0</v>
      </c>
      <c r="R29" s="18" t="str">
        <f aca="false">IF(AND($B29&lt;&gt;"",$C29&lt;&gt;""),"Use o código OU um nome próprio",IF(AND($B29&lt;&gt;"",COUNTIF($B$6:$B$105,$B29)&gt;1),"Código já cadastrado",IF(AND($C29&lt;&gt;"",OR($D29="",$F29="")),"Informe área e 1º degrau","")))</f>
        <v/>
      </c>
    </row>
    <row r="30" customFormat="false" ht="15" hidden="false" customHeight="false" outlineLevel="0" collapsed="false">
      <c r="A30" s="15" t="n">
        <v>25</v>
      </c>
      <c r="B30" s="16"/>
      <c r="C30" s="17"/>
      <c r="D30" s="16"/>
      <c r="E30" s="16"/>
      <c r="F30" s="16"/>
      <c r="G30" s="16"/>
      <c r="H30" s="16"/>
      <c r="I30" s="17"/>
      <c r="J30" s="18" t="str">
        <f aca="false">IF($B30&lt;&gt;"",IFERROR(INDEX(Lib_Proc,MATCH($B30,Lib_Cod,0)),"Código inválido"),IF($C30&lt;&gt;"",$C30,""))</f>
        <v/>
      </c>
      <c r="K30" s="15" t="str">
        <f aca="false">IF($B30&lt;&gt;"",IFERROR(INDEX(Lib_Area,MATCH($B30,Lib_Cod,0)),""),IF($C30&lt;&gt;"",$D30,""))</f>
        <v/>
      </c>
      <c r="L30" s="15" t="str">
        <f aca="false">IF($B30&lt;&gt;"",IFERROR(INDEX(Lib_Sinal,MATCH($B30,Lib_Cod,0)),""),IF($C30&lt;&gt;"",$E30,""))</f>
        <v/>
      </c>
      <c r="M30" s="15" t="str">
        <f aca="false">IF($B30&lt;&gt;"",IFERROR(INDEX(Lib_Deg,MATCH($B30,Lib_Cod,0)),""),IF($C30&lt;&gt;"",$F30,""))</f>
        <v/>
      </c>
      <c r="N30" s="15" t="str">
        <f aca="false">IF($B30&lt;&gt;"",IFERROR(INDEX(Lib_PA,MATCH($B30,Lib_Cod,0)),""),"")</f>
        <v/>
      </c>
      <c r="O30" s="15" t="str">
        <f aca="false">IF($B30&lt;&gt;"",IFERROR(INDEX(Lib_PIA,MATCH($B30,Lib_Cod,0)),""),"")</f>
        <v/>
      </c>
      <c r="P30" s="15" t="str">
        <f aca="false">IF($B30&lt;&gt;"","Biblioteca",IF($C30&lt;&gt;"","Própria",""))</f>
        <v/>
      </c>
      <c r="Q30" s="19" t="n">
        <f aca="false">IF(AND($J30&lt;&gt;"",$J30&lt;&gt;"Código inválido",$H30&lt;&gt;"Excluído"),1,0)</f>
        <v>0</v>
      </c>
      <c r="R30" s="18" t="str">
        <f aca="false">IF(AND($B30&lt;&gt;"",$C30&lt;&gt;""),"Use o código OU um nome próprio",IF(AND($B30&lt;&gt;"",COUNTIF($B$6:$B$105,$B30)&gt;1),"Código já cadastrado",IF(AND($C30&lt;&gt;"",OR($D30="",$F30="")),"Informe área e 1º degrau","")))</f>
        <v/>
      </c>
    </row>
    <row r="31" customFormat="false" ht="15" hidden="false" customHeight="false" outlineLevel="0" collapsed="false">
      <c r="A31" s="15" t="n">
        <v>26</v>
      </c>
      <c r="B31" s="16"/>
      <c r="C31" s="17"/>
      <c r="D31" s="16"/>
      <c r="E31" s="16"/>
      <c r="F31" s="16"/>
      <c r="G31" s="16"/>
      <c r="H31" s="16"/>
      <c r="I31" s="17"/>
      <c r="J31" s="18" t="str">
        <f aca="false">IF($B31&lt;&gt;"",IFERROR(INDEX(Lib_Proc,MATCH($B31,Lib_Cod,0)),"Código inválido"),IF($C31&lt;&gt;"",$C31,""))</f>
        <v/>
      </c>
      <c r="K31" s="15" t="str">
        <f aca="false">IF($B31&lt;&gt;"",IFERROR(INDEX(Lib_Area,MATCH($B31,Lib_Cod,0)),""),IF($C31&lt;&gt;"",$D31,""))</f>
        <v/>
      </c>
      <c r="L31" s="15" t="str">
        <f aca="false">IF($B31&lt;&gt;"",IFERROR(INDEX(Lib_Sinal,MATCH($B31,Lib_Cod,0)),""),IF($C31&lt;&gt;"",$E31,""))</f>
        <v/>
      </c>
      <c r="M31" s="15" t="str">
        <f aca="false">IF($B31&lt;&gt;"",IFERROR(INDEX(Lib_Deg,MATCH($B31,Lib_Cod,0)),""),IF($C31&lt;&gt;"",$F31,""))</f>
        <v/>
      </c>
      <c r="N31" s="15" t="str">
        <f aca="false">IF($B31&lt;&gt;"",IFERROR(INDEX(Lib_PA,MATCH($B31,Lib_Cod,0)),""),"")</f>
        <v/>
      </c>
      <c r="O31" s="15" t="str">
        <f aca="false">IF($B31&lt;&gt;"",IFERROR(INDEX(Lib_PIA,MATCH($B31,Lib_Cod,0)),""),"")</f>
        <v/>
      </c>
      <c r="P31" s="15" t="str">
        <f aca="false">IF($B31&lt;&gt;"","Biblioteca",IF($C31&lt;&gt;"","Própria",""))</f>
        <v/>
      </c>
      <c r="Q31" s="19" t="n">
        <f aca="false">IF(AND($J31&lt;&gt;"",$J31&lt;&gt;"Código inválido",$H31&lt;&gt;"Excluído"),1,0)</f>
        <v>0</v>
      </c>
      <c r="R31" s="18" t="str">
        <f aca="false">IF(AND($B31&lt;&gt;"",$C31&lt;&gt;""),"Use o código OU um nome próprio",IF(AND($B31&lt;&gt;"",COUNTIF($B$6:$B$105,$B31)&gt;1),"Código já cadastrado",IF(AND($C31&lt;&gt;"",OR($D31="",$F31="")),"Informe área e 1º degrau","")))</f>
        <v/>
      </c>
    </row>
    <row r="32" customFormat="false" ht="15" hidden="false" customHeight="false" outlineLevel="0" collapsed="false">
      <c r="A32" s="15" t="n">
        <v>27</v>
      </c>
      <c r="B32" s="16"/>
      <c r="C32" s="17"/>
      <c r="D32" s="16"/>
      <c r="E32" s="16"/>
      <c r="F32" s="16"/>
      <c r="G32" s="16"/>
      <c r="H32" s="16"/>
      <c r="I32" s="17"/>
      <c r="J32" s="18" t="str">
        <f aca="false">IF($B32&lt;&gt;"",IFERROR(INDEX(Lib_Proc,MATCH($B32,Lib_Cod,0)),"Código inválido"),IF($C32&lt;&gt;"",$C32,""))</f>
        <v/>
      </c>
      <c r="K32" s="15" t="str">
        <f aca="false">IF($B32&lt;&gt;"",IFERROR(INDEX(Lib_Area,MATCH($B32,Lib_Cod,0)),""),IF($C32&lt;&gt;"",$D32,""))</f>
        <v/>
      </c>
      <c r="L32" s="15" t="str">
        <f aca="false">IF($B32&lt;&gt;"",IFERROR(INDEX(Lib_Sinal,MATCH($B32,Lib_Cod,0)),""),IF($C32&lt;&gt;"",$E32,""))</f>
        <v/>
      </c>
      <c r="M32" s="15" t="str">
        <f aca="false">IF($B32&lt;&gt;"",IFERROR(INDEX(Lib_Deg,MATCH($B32,Lib_Cod,0)),""),IF($C32&lt;&gt;"",$F32,""))</f>
        <v/>
      </c>
      <c r="N32" s="15" t="str">
        <f aca="false">IF($B32&lt;&gt;"",IFERROR(INDEX(Lib_PA,MATCH($B32,Lib_Cod,0)),""),"")</f>
        <v/>
      </c>
      <c r="O32" s="15" t="str">
        <f aca="false">IF($B32&lt;&gt;"",IFERROR(INDEX(Lib_PIA,MATCH($B32,Lib_Cod,0)),""),"")</f>
        <v/>
      </c>
      <c r="P32" s="15" t="str">
        <f aca="false">IF($B32&lt;&gt;"","Biblioteca",IF($C32&lt;&gt;"","Própria",""))</f>
        <v/>
      </c>
      <c r="Q32" s="19" t="n">
        <f aca="false">IF(AND($J32&lt;&gt;"",$J32&lt;&gt;"Código inválido",$H32&lt;&gt;"Excluído"),1,0)</f>
        <v>0</v>
      </c>
      <c r="R32" s="18" t="str">
        <f aca="false">IF(AND($B32&lt;&gt;"",$C32&lt;&gt;""),"Use o código OU um nome próprio",IF(AND($B32&lt;&gt;"",COUNTIF($B$6:$B$105,$B32)&gt;1),"Código já cadastrado",IF(AND($C32&lt;&gt;"",OR($D32="",$F32="")),"Informe área e 1º degrau","")))</f>
        <v/>
      </c>
    </row>
    <row r="33" customFormat="false" ht="15" hidden="false" customHeight="false" outlineLevel="0" collapsed="false">
      <c r="A33" s="15" t="n">
        <v>28</v>
      </c>
      <c r="B33" s="16"/>
      <c r="C33" s="17"/>
      <c r="D33" s="16"/>
      <c r="E33" s="16"/>
      <c r="F33" s="16"/>
      <c r="G33" s="16"/>
      <c r="H33" s="16"/>
      <c r="I33" s="17"/>
      <c r="J33" s="18" t="str">
        <f aca="false">IF($B33&lt;&gt;"",IFERROR(INDEX(Lib_Proc,MATCH($B33,Lib_Cod,0)),"Código inválido"),IF($C33&lt;&gt;"",$C33,""))</f>
        <v/>
      </c>
      <c r="K33" s="15" t="str">
        <f aca="false">IF($B33&lt;&gt;"",IFERROR(INDEX(Lib_Area,MATCH($B33,Lib_Cod,0)),""),IF($C33&lt;&gt;"",$D33,""))</f>
        <v/>
      </c>
      <c r="L33" s="15" t="str">
        <f aca="false">IF($B33&lt;&gt;"",IFERROR(INDEX(Lib_Sinal,MATCH($B33,Lib_Cod,0)),""),IF($C33&lt;&gt;"",$E33,""))</f>
        <v/>
      </c>
      <c r="M33" s="15" t="str">
        <f aca="false">IF($B33&lt;&gt;"",IFERROR(INDEX(Lib_Deg,MATCH($B33,Lib_Cod,0)),""),IF($C33&lt;&gt;"",$F33,""))</f>
        <v/>
      </c>
      <c r="N33" s="15" t="str">
        <f aca="false">IF($B33&lt;&gt;"",IFERROR(INDEX(Lib_PA,MATCH($B33,Lib_Cod,0)),""),"")</f>
        <v/>
      </c>
      <c r="O33" s="15" t="str">
        <f aca="false">IF($B33&lt;&gt;"",IFERROR(INDEX(Lib_PIA,MATCH($B33,Lib_Cod,0)),""),"")</f>
        <v/>
      </c>
      <c r="P33" s="15" t="str">
        <f aca="false">IF($B33&lt;&gt;"","Biblioteca",IF($C33&lt;&gt;"","Própria",""))</f>
        <v/>
      </c>
      <c r="Q33" s="19" t="n">
        <f aca="false">IF(AND($J33&lt;&gt;"",$J33&lt;&gt;"Código inválido",$H33&lt;&gt;"Excluído"),1,0)</f>
        <v>0</v>
      </c>
      <c r="R33" s="18" t="str">
        <f aca="false">IF(AND($B33&lt;&gt;"",$C33&lt;&gt;""),"Use o código OU um nome próprio",IF(AND($B33&lt;&gt;"",COUNTIF($B$6:$B$105,$B33)&gt;1),"Código já cadastrado",IF(AND($C33&lt;&gt;"",OR($D33="",$F33="")),"Informe área e 1º degrau","")))</f>
        <v/>
      </c>
    </row>
    <row r="34" customFormat="false" ht="15" hidden="false" customHeight="false" outlineLevel="0" collapsed="false">
      <c r="A34" s="15" t="n">
        <v>29</v>
      </c>
      <c r="B34" s="16"/>
      <c r="C34" s="17"/>
      <c r="D34" s="16"/>
      <c r="E34" s="16"/>
      <c r="F34" s="16"/>
      <c r="G34" s="16"/>
      <c r="H34" s="16"/>
      <c r="I34" s="17"/>
      <c r="J34" s="18" t="str">
        <f aca="false">IF($B34&lt;&gt;"",IFERROR(INDEX(Lib_Proc,MATCH($B34,Lib_Cod,0)),"Código inválido"),IF($C34&lt;&gt;"",$C34,""))</f>
        <v/>
      </c>
      <c r="K34" s="15" t="str">
        <f aca="false">IF($B34&lt;&gt;"",IFERROR(INDEX(Lib_Area,MATCH($B34,Lib_Cod,0)),""),IF($C34&lt;&gt;"",$D34,""))</f>
        <v/>
      </c>
      <c r="L34" s="15" t="str">
        <f aca="false">IF($B34&lt;&gt;"",IFERROR(INDEX(Lib_Sinal,MATCH($B34,Lib_Cod,0)),""),IF($C34&lt;&gt;"",$E34,""))</f>
        <v/>
      </c>
      <c r="M34" s="15" t="str">
        <f aca="false">IF($B34&lt;&gt;"",IFERROR(INDEX(Lib_Deg,MATCH($B34,Lib_Cod,0)),""),IF($C34&lt;&gt;"",$F34,""))</f>
        <v/>
      </c>
      <c r="N34" s="15" t="str">
        <f aca="false">IF($B34&lt;&gt;"",IFERROR(INDEX(Lib_PA,MATCH($B34,Lib_Cod,0)),""),"")</f>
        <v/>
      </c>
      <c r="O34" s="15" t="str">
        <f aca="false">IF($B34&lt;&gt;"",IFERROR(INDEX(Lib_PIA,MATCH($B34,Lib_Cod,0)),""),"")</f>
        <v/>
      </c>
      <c r="P34" s="15" t="str">
        <f aca="false">IF($B34&lt;&gt;"","Biblioteca",IF($C34&lt;&gt;"","Própria",""))</f>
        <v/>
      </c>
      <c r="Q34" s="19" t="n">
        <f aca="false">IF(AND($J34&lt;&gt;"",$J34&lt;&gt;"Código inválido",$H34&lt;&gt;"Excluído"),1,0)</f>
        <v>0</v>
      </c>
      <c r="R34" s="18" t="str">
        <f aca="false">IF(AND($B34&lt;&gt;"",$C34&lt;&gt;""),"Use o código OU um nome próprio",IF(AND($B34&lt;&gt;"",COUNTIF($B$6:$B$105,$B34)&gt;1),"Código já cadastrado",IF(AND($C34&lt;&gt;"",OR($D34="",$F34="")),"Informe área e 1º degrau","")))</f>
        <v/>
      </c>
    </row>
    <row r="35" customFormat="false" ht="15" hidden="false" customHeight="false" outlineLevel="0" collapsed="false">
      <c r="A35" s="15" t="n">
        <v>30</v>
      </c>
      <c r="B35" s="16"/>
      <c r="C35" s="17"/>
      <c r="D35" s="16"/>
      <c r="E35" s="16"/>
      <c r="F35" s="16"/>
      <c r="G35" s="16"/>
      <c r="H35" s="16"/>
      <c r="I35" s="17"/>
      <c r="J35" s="18" t="str">
        <f aca="false">IF($B35&lt;&gt;"",IFERROR(INDEX(Lib_Proc,MATCH($B35,Lib_Cod,0)),"Código inválido"),IF($C35&lt;&gt;"",$C35,""))</f>
        <v/>
      </c>
      <c r="K35" s="15" t="str">
        <f aca="false">IF($B35&lt;&gt;"",IFERROR(INDEX(Lib_Area,MATCH($B35,Lib_Cod,0)),""),IF($C35&lt;&gt;"",$D35,""))</f>
        <v/>
      </c>
      <c r="L35" s="15" t="str">
        <f aca="false">IF($B35&lt;&gt;"",IFERROR(INDEX(Lib_Sinal,MATCH($B35,Lib_Cod,0)),""),IF($C35&lt;&gt;"",$E35,""))</f>
        <v/>
      </c>
      <c r="M35" s="15" t="str">
        <f aca="false">IF($B35&lt;&gt;"",IFERROR(INDEX(Lib_Deg,MATCH($B35,Lib_Cod,0)),""),IF($C35&lt;&gt;"",$F35,""))</f>
        <v/>
      </c>
      <c r="N35" s="15" t="str">
        <f aca="false">IF($B35&lt;&gt;"",IFERROR(INDEX(Lib_PA,MATCH($B35,Lib_Cod,0)),""),"")</f>
        <v/>
      </c>
      <c r="O35" s="15" t="str">
        <f aca="false">IF($B35&lt;&gt;"",IFERROR(INDEX(Lib_PIA,MATCH($B35,Lib_Cod,0)),""),"")</f>
        <v/>
      </c>
      <c r="P35" s="15" t="str">
        <f aca="false">IF($B35&lt;&gt;"","Biblioteca",IF($C35&lt;&gt;"","Própria",""))</f>
        <v/>
      </c>
      <c r="Q35" s="19" t="n">
        <f aca="false">IF(AND($J35&lt;&gt;"",$J35&lt;&gt;"Código inválido",$H35&lt;&gt;"Excluído"),1,0)</f>
        <v>0</v>
      </c>
      <c r="R35" s="18" t="str">
        <f aca="false">IF(AND($B35&lt;&gt;"",$C35&lt;&gt;""),"Use o código OU um nome próprio",IF(AND($B35&lt;&gt;"",COUNTIF($B$6:$B$105,$B35)&gt;1),"Código já cadastrado",IF(AND($C35&lt;&gt;"",OR($D35="",$F35="")),"Informe área e 1º degrau","")))</f>
        <v/>
      </c>
    </row>
    <row r="36" customFormat="false" ht="15" hidden="false" customHeight="false" outlineLevel="0" collapsed="false">
      <c r="A36" s="15" t="n">
        <v>31</v>
      </c>
      <c r="B36" s="16"/>
      <c r="C36" s="17"/>
      <c r="D36" s="16"/>
      <c r="E36" s="16"/>
      <c r="F36" s="16"/>
      <c r="G36" s="16"/>
      <c r="H36" s="16"/>
      <c r="I36" s="17"/>
      <c r="J36" s="18" t="str">
        <f aca="false">IF($B36&lt;&gt;"",IFERROR(INDEX(Lib_Proc,MATCH($B36,Lib_Cod,0)),"Código inválido"),IF($C36&lt;&gt;"",$C36,""))</f>
        <v/>
      </c>
      <c r="K36" s="15" t="str">
        <f aca="false">IF($B36&lt;&gt;"",IFERROR(INDEX(Lib_Area,MATCH($B36,Lib_Cod,0)),""),IF($C36&lt;&gt;"",$D36,""))</f>
        <v/>
      </c>
      <c r="L36" s="15" t="str">
        <f aca="false">IF($B36&lt;&gt;"",IFERROR(INDEX(Lib_Sinal,MATCH($B36,Lib_Cod,0)),""),IF($C36&lt;&gt;"",$E36,""))</f>
        <v/>
      </c>
      <c r="M36" s="15" t="str">
        <f aca="false">IF($B36&lt;&gt;"",IFERROR(INDEX(Lib_Deg,MATCH($B36,Lib_Cod,0)),""),IF($C36&lt;&gt;"",$F36,""))</f>
        <v/>
      </c>
      <c r="N36" s="15" t="str">
        <f aca="false">IF($B36&lt;&gt;"",IFERROR(INDEX(Lib_PA,MATCH($B36,Lib_Cod,0)),""),"")</f>
        <v/>
      </c>
      <c r="O36" s="15" t="str">
        <f aca="false">IF($B36&lt;&gt;"",IFERROR(INDEX(Lib_PIA,MATCH($B36,Lib_Cod,0)),""),"")</f>
        <v/>
      </c>
      <c r="P36" s="15" t="str">
        <f aca="false">IF($B36&lt;&gt;"","Biblioteca",IF($C36&lt;&gt;"","Própria",""))</f>
        <v/>
      </c>
      <c r="Q36" s="19" t="n">
        <f aca="false">IF(AND($J36&lt;&gt;"",$J36&lt;&gt;"Código inválido",$H36&lt;&gt;"Excluído"),1,0)</f>
        <v>0</v>
      </c>
      <c r="R36" s="18" t="str">
        <f aca="false">IF(AND($B36&lt;&gt;"",$C36&lt;&gt;""),"Use o código OU um nome próprio",IF(AND($B36&lt;&gt;"",COUNTIF($B$6:$B$105,$B36)&gt;1),"Código já cadastrado",IF(AND($C36&lt;&gt;"",OR($D36="",$F36="")),"Informe área e 1º degrau","")))</f>
        <v/>
      </c>
    </row>
    <row r="37" customFormat="false" ht="15" hidden="false" customHeight="false" outlineLevel="0" collapsed="false">
      <c r="A37" s="15" t="n">
        <v>32</v>
      </c>
      <c r="B37" s="16"/>
      <c r="C37" s="17"/>
      <c r="D37" s="16"/>
      <c r="E37" s="16"/>
      <c r="F37" s="16"/>
      <c r="G37" s="16"/>
      <c r="H37" s="16"/>
      <c r="I37" s="17"/>
      <c r="J37" s="18" t="str">
        <f aca="false">IF($B37&lt;&gt;"",IFERROR(INDEX(Lib_Proc,MATCH($B37,Lib_Cod,0)),"Código inválido"),IF($C37&lt;&gt;"",$C37,""))</f>
        <v/>
      </c>
      <c r="K37" s="15" t="str">
        <f aca="false">IF($B37&lt;&gt;"",IFERROR(INDEX(Lib_Area,MATCH($B37,Lib_Cod,0)),""),IF($C37&lt;&gt;"",$D37,""))</f>
        <v/>
      </c>
      <c r="L37" s="15" t="str">
        <f aca="false">IF($B37&lt;&gt;"",IFERROR(INDEX(Lib_Sinal,MATCH($B37,Lib_Cod,0)),""),IF($C37&lt;&gt;"",$E37,""))</f>
        <v/>
      </c>
      <c r="M37" s="15" t="str">
        <f aca="false">IF($B37&lt;&gt;"",IFERROR(INDEX(Lib_Deg,MATCH($B37,Lib_Cod,0)),""),IF($C37&lt;&gt;"",$F37,""))</f>
        <v/>
      </c>
      <c r="N37" s="15" t="str">
        <f aca="false">IF($B37&lt;&gt;"",IFERROR(INDEX(Lib_PA,MATCH($B37,Lib_Cod,0)),""),"")</f>
        <v/>
      </c>
      <c r="O37" s="15" t="str">
        <f aca="false">IF($B37&lt;&gt;"",IFERROR(INDEX(Lib_PIA,MATCH($B37,Lib_Cod,0)),""),"")</f>
        <v/>
      </c>
      <c r="P37" s="15" t="str">
        <f aca="false">IF($B37&lt;&gt;"","Biblioteca",IF($C37&lt;&gt;"","Própria",""))</f>
        <v/>
      </c>
      <c r="Q37" s="19" t="n">
        <f aca="false">IF(AND($J37&lt;&gt;"",$J37&lt;&gt;"Código inválido",$H37&lt;&gt;"Excluído"),1,0)</f>
        <v>0</v>
      </c>
      <c r="R37" s="18" t="str">
        <f aca="false">IF(AND($B37&lt;&gt;"",$C37&lt;&gt;""),"Use o código OU um nome próprio",IF(AND($B37&lt;&gt;"",COUNTIF($B$6:$B$105,$B37)&gt;1),"Código já cadastrado",IF(AND($C37&lt;&gt;"",OR($D37="",$F37="")),"Informe área e 1º degrau","")))</f>
        <v/>
      </c>
    </row>
    <row r="38" customFormat="false" ht="15" hidden="false" customHeight="false" outlineLevel="0" collapsed="false">
      <c r="A38" s="15" t="n">
        <v>33</v>
      </c>
      <c r="B38" s="16"/>
      <c r="C38" s="17"/>
      <c r="D38" s="16"/>
      <c r="E38" s="16"/>
      <c r="F38" s="16"/>
      <c r="G38" s="16"/>
      <c r="H38" s="16"/>
      <c r="I38" s="17"/>
      <c r="J38" s="18" t="str">
        <f aca="false">IF($B38&lt;&gt;"",IFERROR(INDEX(Lib_Proc,MATCH($B38,Lib_Cod,0)),"Código inválido"),IF($C38&lt;&gt;"",$C38,""))</f>
        <v/>
      </c>
      <c r="K38" s="15" t="str">
        <f aca="false">IF($B38&lt;&gt;"",IFERROR(INDEX(Lib_Area,MATCH($B38,Lib_Cod,0)),""),IF($C38&lt;&gt;"",$D38,""))</f>
        <v/>
      </c>
      <c r="L38" s="15" t="str">
        <f aca="false">IF($B38&lt;&gt;"",IFERROR(INDEX(Lib_Sinal,MATCH($B38,Lib_Cod,0)),""),IF($C38&lt;&gt;"",$E38,""))</f>
        <v/>
      </c>
      <c r="M38" s="15" t="str">
        <f aca="false">IF($B38&lt;&gt;"",IFERROR(INDEX(Lib_Deg,MATCH($B38,Lib_Cod,0)),""),IF($C38&lt;&gt;"",$F38,""))</f>
        <v/>
      </c>
      <c r="N38" s="15" t="str">
        <f aca="false">IF($B38&lt;&gt;"",IFERROR(INDEX(Lib_PA,MATCH($B38,Lib_Cod,0)),""),"")</f>
        <v/>
      </c>
      <c r="O38" s="15" t="str">
        <f aca="false">IF($B38&lt;&gt;"",IFERROR(INDEX(Lib_PIA,MATCH($B38,Lib_Cod,0)),""),"")</f>
        <v/>
      </c>
      <c r="P38" s="15" t="str">
        <f aca="false">IF($B38&lt;&gt;"","Biblioteca",IF($C38&lt;&gt;"","Própria",""))</f>
        <v/>
      </c>
      <c r="Q38" s="19" t="n">
        <f aca="false">IF(AND($J38&lt;&gt;"",$J38&lt;&gt;"Código inválido",$H38&lt;&gt;"Excluído"),1,0)</f>
        <v>0</v>
      </c>
      <c r="R38" s="18" t="str">
        <f aca="false">IF(AND($B38&lt;&gt;"",$C38&lt;&gt;""),"Use o código OU um nome próprio",IF(AND($B38&lt;&gt;"",COUNTIF($B$6:$B$105,$B38)&gt;1),"Código já cadastrado",IF(AND($C38&lt;&gt;"",OR($D38="",$F38="")),"Informe área e 1º degrau","")))</f>
        <v/>
      </c>
    </row>
    <row r="39" customFormat="false" ht="15" hidden="false" customHeight="false" outlineLevel="0" collapsed="false">
      <c r="A39" s="15" t="n">
        <v>34</v>
      </c>
      <c r="B39" s="16"/>
      <c r="C39" s="17"/>
      <c r="D39" s="16"/>
      <c r="E39" s="16"/>
      <c r="F39" s="16"/>
      <c r="G39" s="16"/>
      <c r="H39" s="16"/>
      <c r="I39" s="17"/>
      <c r="J39" s="18" t="str">
        <f aca="false">IF($B39&lt;&gt;"",IFERROR(INDEX(Lib_Proc,MATCH($B39,Lib_Cod,0)),"Código inválido"),IF($C39&lt;&gt;"",$C39,""))</f>
        <v/>
      </c>
      <c r="K39" s="15" t="str">
        <f aca="false">IF($B39&lt;&gt;"",IFERROR(INDEX(Lib_Area,MATCH($B39,Lib_Cod,0)),""),IF($C39&lt;&gt;"",$D39,""))</f>
        <v/>
      </c>
      <c r="L39" s="15" t="str">
        <f aca="false">IF($B39&lt;&gt;"",IFERROR(INDEX(Lib_Sinal,MATCH($B39,Lib_Cod,0)),""),IF($C39&lt;&gt;"",$E39,""))</f>
        <v/>
      </c>
      <c r="M39" s="15" t="str">
        <f aca="false">IF($B39&lt;&gt;"",IFERROR(INDEX(Lib_Deg,MATCH($B39,Lib_Cod,0)),""),IF($C39&lt;&gt;"",$F39,""))</f>
        <v/>
      </c>
      <c r="N39" s="15" t="str">
        <f aca="false">IF($B39&lt;&gt;"",IFERROR(INDEX(Lib_PA,MATCH($B39,Lib_Cod,0)),""),"")</f>
        <v/>
      </c>
      <c r="O39" s="15" t="str">
        <f aca="false">IF($B39&lt;&gt;"",IFERROR(INDEX(Lib_PIA,MATCH($B39,Lib_Cod,0)),""),"")</f>
        <v/>
      </c>
      <c r="P39" s="15" t="str">
        <f aca="false">IF($B39&lt;&gt;"","Biblioteca",IF($C39&lt;&gt;"","Própria",""))</f>
        <v/>
      </c>
      <c r="Q39" s="19" t="n">
        <f aca="false">IF(AND($J39&lt;&gt;"",$J39&lt;&gt;"Código inválido",$H39&lt;&gt;"Excluído"),1,0)</f>
        <v>0</v>
      </c>
      <c r="R39" s="18" t="str">
        <f aca="false">IF(AND($B39&lt;&gt;"",$C39&lt;&gt;""),"Use o código OU um nome próprio",IF(AND($B39&lt;&gt;"",COUNTIF($B$6:$B$105,$B39)&gt;1),"Código já cadastrado",IF(AND($C39&lt;&gt;"",OR($D39="",$F39="")),"Informe área e 1º degrau","")))</f>
        <v/>
      </c>
    </row>
    <row r="40" customFormat="false" ht="15" hidden="false" customHeight="false" outlineLevel="0" collapsed="false">
      <c r="A40" s="15" t="n">
        <v>35</v>
      </c>
      <c r="B40" s="16"/>
      <c r="C40" s="17"/>
      <c r="D40" s="16"/>
      <c r="E40" s="16"/>
      <c r="F40" s="16"/>
      <c r="G40" s="16"/>
      <c r="H40" s="16"/>
      <c r="I40" s="17"/>
      <c r="J40" s="18" t="str">
        <f aca="false">IF($B40&lt;&gt;"",IFERROR(INDEX(Lib_Proc,MATCH($B40,Lib_Cod,0)),"Código inválido"),IF($C40&lt;&gt;"",$C40,""))</f>
        <v/>
      </c>
      <c r="K40" s="15" t="str">
        <f aca="false">IF($B40&lt;&gt;"",IFERROR(INDEX(Lib_Area,MATCH($B40,Lib_Cod,0)),""),IF($C40&lt;&gt;"",$D40,""))</f>
        <v/>
      </c>
      <c r="L40" s="15" t="str">
        <f aca="false">IF($B40&lt;&gt;"",IFERROR(INDEX(Lib_Sinal,MATCH($B40,Lib_Cod,0)),""),IF($C40&lt;&gt;"",$E40,""))</f>
        <v/>
      </c>
      <c r="M40" s="15" t="str">
        <f aca="false">IF($B40&lt;&gt;"",IFERROR(INDEX(Lib_Deg,MATCH($B40,Lib_Cod,0)),""),IF($C40&lt;&gt;"",$F40,""))</f>
        <v/>
      </c>
      <c r="N40" s="15" t="str">
        <f aca="false">IF($B40&lt;&gt;"",IFERROR(INDEX(Lib_PA,MATCH($B40,Lib_Cod,0)),""),"")</f>
        <v/>
      </c>
      <c r="O40" s="15" t="str">
        <f aca="false">IF($B40&lt;&gt;"",IFERROR(INDEX(Lib_PIA,MATCH($B40,Lib_Cod,0)),""),"")</f>
        <v/>
      </c>
      <c r="P40" s="15" t="str">
        <f aca="false">IF($B40&lt;&gt;"","Biblioteca",IF($C40&lt;&gt;"","Própria",""))</f>
        <v/>
      </c>
      <c r="Q40" s="19" t="n">
        <f aca="false">IF(AND($J40&lt;&gt;"",$J40&lt;&gt;"Código inválido",$H40&lt;&gt;"Excluído"),1,0)</f>
        <v>0</v>
      </c>
      <c r="R40" s="18" t="str">
        <f aca="false">IF(AND($B40&lt;&gt;"",$C40&lt;&gt;""),"Use o código OU um nome próprio",IF(AND($B40&lt;&gt;"",COUNTIF($B$6:$B$105,$B40)&gt;1),"Código já cadastrado",IF(AND($C40&lt;&gt;"",OR($D40="",$F40="")),"Informe área e 1º degrau","")))</f>
        <v/>
      </c>
    </row>
    <row r="41" customFormat="false" ht="15" hidden="false" customHeight="false" outlineLevel="0" collapsed="false">
      <c r="A41" s="15" t="n">
        <v>36</v>
      </c>
      <c r="B41" s="16"/>
      <c r="C41" s="17"/>
      <c r="D41" s="16"/>
      <c r="E41" s="16"/>
      <c r="F41" s="16"/>
      <c r="G41" s="16"/>
      <c r="H41" s="16"/>
      <c r="I41" s="17"/>
      <c r="J41" s="18" t="str">
        <f aca="false">IF($B41&lt;&gt;"",IFERROR(INDEX(Lib_Proc,MATCH($B41,Lib_Cod,0)),"Código inválido"),IF($C41&lt;&gt;"",$C41,""))</f>
        <v/>
      </c>
      <c r="K41" s="15" t="str">
        <f aca="false">IF($B41&lt;&gt;"",IFERROR(INDEX(Lib_Area,MATCH($B41,Lib_Cod,0)),""),IF($C41&lt;&gt;"",$D41,""))</f>
        <v/>
      </c>
      <c r="L41" s="15" t="str">
        <f aca="false">IF($B41&lt;&gt;"",IFERROR(INDEX(Lib_Sinal,MATCH($B41,Lib_Cod,0)),""),IF($C41&lt;&gt;"",$E41,""))</f>
        <v/>
      </c>
      <c r="M41" s="15" t="str">
        <f aca="false">IF($B41&lt;&gt;"",IFERROR(INDEX(Lib_Deg,MATCH($B41,Lib_Cod,0)),""),IF($C41&lt;&gt;"",$F41,""))</f>
        <v/>
      </c>
      <c r="N41" s="15" t="str">
        <f aca="false">IF($B41&lt;&gt;"",IFERROR(INDEX(Lib_PA,MATCH($B41,Lib_Cod,0)),""),"")</f>
        <v/>
      </c>
      <c r="O41" s="15" t="str">
        <f aca="false">IF($B41&lt;&gt;"",IFERROR(INDEX(Lib_PIA,MATCH($B41,Lib_Cod,0)),""),"")</f>
        <v/>
      </c>
      <c r="P41" s="15" t="str">
        <f aca="false">IF($B41&lt;&gt;"","Biblioteca",IF($C41&lt;&gt;"","Própria",""))</f>
        <v/>
      </c>
      <c r="Q41" s="19" t="n">
        <f aca="false">IF(AND($J41&lt;&gt;"",$J41&lt;&gt;"Código inválido",$H41&lt;&gt;"Excluído"),1,0)</f>
        <v>0</v>
      </c>
      <c r="R41" s="18" t="str">
        <f aca="false">IF(AND($B41&lt;&gt;"",$C41&lt;&gt;""),"Use o código OU um nome próprio",IF(AND($B41&lt;&gt;"",COUNTIF($B$6:$B$105,$B41)&gt;1),"Código já cadastrado",IF(AND($C41&lt;&gt;"",OR($D41="",$F41="")),"Informe área e 1º degrau","")))</f>
        <v/>
      </c>
    </row>
    <row r="42" customFormat="false" ht="15" hidden="false" customHeight="false" outlineLevel="0" collapsed="false">
      <c r="A42" s="15" t="n">
        <v>37</v>
      </c>
      <c r="B42" s="16"/>
      <c r="C42" s="17"/>
      <c r="D42" s="16"/>
      <c r="E42" s="16"/>
      <c r="F42" s="16"/>
      <c r="G42" s="16"/>
      <c r="H42" s="16"/>
      <c r="I42" s="17"/>
      <c r="J42" s="18" t="str">
        <f aca="false">IF($B42&lt;&gt;"",IFERROR(INDEX(Lib_Proc,MATCH($B42,Lib_Cod,0)),"Código inválido"),IF($C42&lt;&gt;"",$C42,""))</f>
        <v/>
      </c>
      <c r="K42" s="15" t="str">
        <f aca="false">IF($B42&lt;&gt;"",IFERROR(INDEX(Lib_Area,MATCH($B42,Lib_Cod,0)),""),IF($C42&lt;&gt;"",$D42,""))</f>
        <v/>
      </c>
      <c r="L42" s="15" t="str">
        <f aca="false">IF($B42&lt;&gt;"",IFERROR(INDEX(Lib_Sinal,MATCH($B42,Lib_Cod,0)),""),IF($C42&lt;&gt;"",$E42,""))</f>
        <v/>
      </c>
      <c r="M42" s="15" t="str">
        <f aca="false">IF($B42&lt;&gt;"",IFERROR(INDEX(Lib_Deg,MATCH($B42,Lib_Cod,0)),""),IF($C42&lt;&gt;"",$F42,""))</f>
        <v/>
      </c>
      <c r="N42" s="15" t="str">
        <f aca="false">IF($B42&lt;&gt;"",IFERROR(INDEX(Lib_PA,MATCH($B42,Lib_Cod,0)),""),"")</f>
        <v/>
      </c>
      <c r="O42" s="15" t="str">
        <f aca="false">IF($B42&lt;&gt;"",IFERROR(INDEX(Lib_PIA,MATCH($B42,Lib_Cod,0)),""),"")</f>
        <v/>
      </c>
      <c r="P42" s="15" t="str">
        <f aca="false">IF($B42&lt;&gt;"","Biblioteca",IF($C42&lt;&gt;"","Própria",""))</f>
        <v/>
      </c>
      <c r="Q42" s="19" t="n">
        <f aca="false">IF(AND($J42&lt;&gt;"",$J42&lt;&gt;"Código inválido",$H42&lt;&gt;"Excluído"),1,0)</f>
        <v>0</v>
      </c>
      <c r="R42" s="18" t="str">
        <f aca="false">IF(AND($B42&lt;&gt;"",$C42&lt;&gt;""),"Use o código OU um nome próprio",IF(AND($B42&lt;&gt;"",COUNTIF($B$6:$B$105,$B42)&gt;1),"Código já cadastrado",IF(AND($C42&lt;&gt;"",OR($D42="",$F42="")),"Informe área e 1º degrau","")))</f>
        <v/>
      </c>
    </row>
    <row r="43" customFormat="false" ht="15" hidden="false" customHeight="false" outlineLevel="0" collapsed="false">
      <c r="A43" s="15" t="n">
        <v>38</v>
      </c>
      <c r="B43" s="16"/>
      <c r="C43" s="17"/>
      <c r="D43" s="16"/>
      <c r="E43" s="16"/>
      <c r="F43" s="16"/>
      <c r="G43" s="16"/>
      <c r="H43" s="16"/>
      <c r="I43" s="17"/>
      <c r="J43" s="18" t="str">
        <f aca="false">IF($B43&lt;&gt;"",IFERROR(INDEX(Lib_Proc,MATCH($B43,Lib_Cod,0)),"Código inválido"),IF($C43&lt;&gt;"",$C43,""))</f>
        <v/>
      </c>
      <c r="K43" s="15" t="str">
        <f aca="false">IF($B43&lt;&gt;"",IFERROR(INDEX(Lib_Area,MATCH($B43,Lib_Cod,0)),""),IF($C43&lt;&gt;"",$D43,""))</f>
        <v/>
      </c>
      <c r="L43" s="15" t="str">
        <f aca="false">IF($B43&lt;&gt;"",IFERROR(INDEX(Lib_Sinal,MATCH($B43,Lib_Cod,0)),""),IF($C43&lt;&gt;"",$E43,""))</f>
        <v/>
      </c>
      <c r="M43" s="15" t="str">
        <f aca="false">IF($B43&lt;&gt;"",IFERROR(INDEX(Lib_Deg,MATCH($B43,Lib_Cod,0)),""),IF($C43&lt;&gt;"",$F43,""))</f>
        <v/>
      </c>
      <c r="N43" s="15" t="str">
        <f aca="false">IF($B43&lt;&gt;"",IFERROR(INDEX(Lib_PA,MATCH($B43,Lib_Cod,0)),""),"")</f>
        <v/>
      </c>
      <c r="O43" s="15" t="str">
        <f aca="false">IF($B43&lt;&gt;"",IFERROR(INDEX(Lib_PIA,MATCH($B43,Lib_Cod,0)),""),"")</f>
        <v/>
      </c>
      <c r="P43" s="15" t="str">
        <f aca="false">IF($B43&lt;&gt;"","Biblioteca",IF($C43&lt;&gt;"","Própria",""))</f>
        <v/>
      </c>
      <c r="Q43" s="19" t="n">
        <f aca="false">IF(AND($J43&lt;&gt;"",$J43&lt;&gt;"Código inválido",$H43&lt;&gt;"Excluído"),1,0)</f>
        <v>0</v>
      </c>
      <c r="R43" s="18" t="str">
        <f aca="false">IF(AND($B43&lt;&gt;"",$C43&lt;&gt;""),"Use o código OU um nome próprio",IF(AND($B43&lt;&gt;"",COUNTIF($B$6:$B$105,$B43)&gt;1),"Código já cadastrado",IF(AND($C43&lt;&gt;"",OR($D43="",$F43="")),"Informe área e 1º degrau","")))</f>
        <v/>
      </c>
    </row>
    <row r="44" customFormat="false" ht="15" hidden="false" customHeight="false" outlineLevel="0" collapsed="false">
      <c r="A44" s="15" t="n">
        <v>39</v>
      </c>
      <c r="B44" s="16"/>
      <c r="C44" s="17"/>
      <c r="D44" s="16"/>
      <c r="E44" s="16"/>
      <c r="F44" s="16"/>
      <c r="G44" s="16"/>
      <c r="H44" s="16"/>
      <c r="I44" s="17"/>
      <c r="J44" s="18" t="str">
        <f aca="false">IF($B44&lt;&gt;"",IFERROR(INDEX(Lib_Proc,MATCH($B44,Lib_Cod,0)),"Código inválido"),IF($C44&lt;&gt;"",$C44,""))</f>
        <v/>
      </c>
      <c r="K44" s="15" t="str">
        <f aca="false">IF($B44&lt;&gt;"",IFERROR(INDEX(Lib_Area,MATCH($B44,Lib_Cod,0)),""),IF($C44&lt;&gt;"",$D44,""))</f>
        <v/>
      </c>
      <c r="L44" s="15" t="str">
        <f aca="false">IF($B44&lt;&gt;"",IFERROR(INDEX(Lib_Sinal,MATCH($B44,Lib_Cod,0)),""),IF($C44&lt;&gt;"",$E44,""))</f>
        <v/>
      </c>
      <c r="M44" s="15" t="str">
        <f aca="false">IF($B44&lt;&gt;"",IFERROR(INDEX(Lib_Deg,MATCH($B44,Lib_Cod,0)),""),IF($C44&lt;&gt;"",$F44,""))</f>
        <v/>
      </c>
      <c r="N44" s="15" t="str">
        <f aca="false">IF($B44&lt;&gt;"",IFERROR(INDEX(Lib_PA,MATCH($B44,Lib_Cod,0)),""),"")</f>
        <v/>
      </c>
      <c r="O44" s="15" t="str">
        <f aca="false">IF($B44&lt;&gt;"",IFERROR(INDEX(Lib_PIA,MATCH($B44,Lib_Cod,0)),""),"")</f>
        <v/>
      </c>
      <c r="P44" s="15" t="str">
        <f aca="false">IF($B44&lt;&gt;"","Biblioteca",IF($C44&lt;&gt;"","Própria",""))</f>
        <v/>
      </c>
      <c r="Q44" s="19" t="n">
        <f aca="false">IF(AND($J44&lt;&gt;"",$J44&lt;&gt;"Código inválido",$H44&lt;&gt;"Excluído"),1,0)</f>
        <v>0</v>
      </c>
      <c r="R44" s="18" t="str">
        <f aca="false">IF(AND($B44&lt;&gt;"",$C44&lt;&gt;""),"Use o código OU um nome próprio",IF(AND($B44&lt;&gt;"",COUNTIF($B$6:$B$105,$B44)&gt;1),"Código já cadastrado",IF(AND($C44&lt;&gt;"",OR($D44="",$F44="")),"Informe área e 1º degrau","")))</f>
        <v/>
      </c>
    </row>
    <row r="45" customFormat="false" ht="15" hidden="false" customHeight="false" outlineLevel="0" collapsed="false">
      <c r="A45" s="15" t="n">
        <v>40</v>
      </c>
      <c r="B45" s="16"/>
      <c r="C45" s="17"/>
      <c r="D45" s="16"/>
      <c r="E45" s="16"/>
      <c r="F45" s="16"/>
      <c r="G45" s="16"/>
      <c r="H45" s="16"/>
      <c r="I45" s="17"/>
      <c r="J45" s="18" t="str">
        <f aca="false">IF($B45&lt;&gt;"",IFERROR(INDEX(Lib_Proc,MATCH($B45,Lib_Cod,0)),"Código inválido"),IF($C45&lt;&gt;"",$C45,""))</f>
        <v/>
      </c>
      <c r="K45" s="15" t="str">
        <f aca="false">IF($B45&lt;&gt;"",IFERROR(INDEX(Lib_Area,MATCH($B45,Lib_Cod,0)),""),IF($C45&lt;&gt;"",$D45,""))</f>
        <v/>
      </c>
      <c r="L45" s="15" t="str">
        <f aca="false">IF($B45&lt;&gt;"",IFERROR(INDEX(Lib_Sinal,MATCH($B45,Lib_Cod,0)),""),IF($C45&lt;&gt;"",$E45,""))</f>
        <v/>
      </c>
      <c r="M45" s="15" t="str">
        <f aca="false">IF($B45&lt;&gt;"",IFERROR(INDEX(Lib_Deg,MATCH($B45,Lib_Cod,0)),""),IF($C45&lt;&gt;"",$F45,""))</f>
        <v/>
      </c>
      <c r="N45" s="15" t="str">
        <f aca="false">IF($B45&lt;&gt;"",IFERROR(INDEX(Lib_PA,MATCH($B45,Lib_Cod,0)),""),"")</f>
        <v/>
      </c>
      <c r="O45" s="15" t="str">
        <f aca="false">IF($B45&lt;&gt;"",IFERROR(INDEX(Lib_PIA,MATCH($B45,Lib_Cod,0)),""),"")</f>
        <v/>
      </c>
      <c r="P45" s="15" t="str">
        <f aca="false">IF($B45&lt;&gt;"","Biblioteca",IF($C45&lt;&gt;"","Própria",""))</f>
        <v/>
      </c>
      <c r="Q45" s="19" t="n">
        <f aca="false">IF(AND($J45&lt;&gt;"",$J45&lt;&gt;"Código inválido",$H45&lt;&gt;"Excluído"),1,0)</f>
        <v>0</v>
      </c>
      <c r="R45" s="18" t="str">
        <f aca="false">IF(AND($B45&lt;&gt;"",$C45&lt;&gt;""),"Use o código OU um nome próprio",IF(AND($B45&lt;&gt;"",COUNTIF($B$6:$B$105,$B45)&gt;1),"Código já cadastrado",IF(AND($C45&lt;&gt;"",OR($D45="",$F45="")),"Informe área e 1º degrau","")))</f>
        <v/>
      </c>
    </row>
    <row r="46" customFormat="false" ht="15" hidden="false" customHeight="false" outlineLevel="0" collapsed="false">
      <c r="A46" s="15" t="n">
        <v>41</v>
      </c>
      <c r="B46" s="16"/>
      <c r="C46" s="17"/>
      <c r="D46" s="16"/>
      <c r="E46" s="16"/>
      <c r="F46" s="16"/>
      <c r="G46" s="16"/>
      <c r="H46" s="16"/>
      <c r="I46" s="17"/>
      <c r="J46" s="18" t="str">
        <f aca="false">IF($B46&lt;&gt;"",IFERROR(INDEX(Lib_Proc,MATCH($B46,Lib_Cod,0)),"Código inválido"),IF($C46&lt;&gt;"",$C46,""))</f>
        <v/>
      </c>
      <c r="K46" s="15" t="str">
        <f aca="false">IF($B46&lt;&gt;"",IFERROR(INDEX(Lib_Area,MATCH($B46,Lib_Cod,0)),""),IF($C46&lt;&gt;"",$D46,""))</f>
        <v/>
      </c>
      <c r="L46" s="15" t="str">
        <f aca="false">IF($B46&lt;&gt;"",IFERROR(INDEX(Lib_Sinal,MATCH($B46,Lib_Cod,0)),""),IF($C46&lt;&gt;"",$E46,""))</f>
        <v/>
      </c>
      <c r="M46" s="15" t="str">
        <f aca="false">IF($B46&lt;&gt;"",IFERROR(INDEX(Lib_Deg,MATCH($B46,Lib_Cod,0)),""),IF($C46&lt;&gt;"",$F46,""))</f>
        <v/>
      </c>
      <c r="N46" s="15" t="str">
        <f aca="false">IF($B46&lt;&gt;"",IFERROR(INDEX(Lib_PA,MATCH($B46,Lib_Cod,0)),""),"")</f>
        <v/>
      </c>
      <c r="O46" s="15" t="str">
        <f aca="false">IF($B46&lt;&gt;"",IFERROR(INDEX(Lib_PIA,MATCH($B46,Lib_Cod,0)),""),"")</f>
        <v/>
      </c>
      <c r="P46" s="15" t="str">
        <f aca="false">IF($B46&lt;&gt;"","Biblioteca",IF($C46&lt;&gt;"","Própria",""))</f>
        <v/>
      </c>
      <c r="Q46" s="19" t="n">
        <f aca="false">IF(AND($J46&lt;&gt;"",$J46&lt;&gt;"Código inválido",$H46&lt;&gt;"Excluído"),1,0)</f>
        <v>0</v>
      </c>
      <c r="R46" s="18" t="str">
        <f aca="false">IF(AND($B46&lt;&gt;"",$C46&lt;&gt;""),"Use o código OU um nome próprio",IF(AND($B46&lt;&gt;"",COUNTIF($B$6:$B$105,$B46)&gt;1),"Código já cadastrado",IF(AND($C46&lt;&gt;"",OR($D46="",$F46="")),"Informe área e 1º degrau","")))</f>
        <v/>
      </c>
    </row>
    <row r="47" customFormat="false" ht="15" hidden="false" customHeight="false" outlineLevel="0" collapsed="false">
      <c r="A47" s="15" t="n">
        <v>42</v>
      </c>
      <c r="B47" s="16"/>
      <c r="C47" s="17"/>
      <c r="D47" s="16"/>
      <c r="E47" s="16"/>
      <c r="F47" s="16"/>
      <c r="G47" s="16"/>
      <c r="H47" s="16"/>
      <c r="I47" s="17"/>
      <c r="J47" s="18" t="str">
        <f aca="false">IF($B47&lt;&gt;"",IFERROR(INDEX(Lib_Proc,MATCH($B47,Lib_Cod,0)),"Código inválido"),IF($C47&lt;&gt;"",$C47,""))</f>
        <v/>
      </c>
      <c r="K47" s="15" t="str">
        <f aca="false">IF($B47&lt;&gt;"",IFERROR(INDEX(Lib_Area,MATCH($B47,Lib_Cod,0)),""),IF($C47&lt;&gt;"",$D47,""))</f>
        <v/>
      </c>
      <c r="L47" s="15" t="str">
        <f aca="false">IF($B47&lt;&gt;"",IFERROR(INDEX(Lib_Sinal,MATCH($B47,Lib_Cod,0)),""),IF($C47&lt;&gt;"",$E47,""))</f>
        <v/>
      </c>
      <c r="M47" s="15" t="str">
        <f aca="false">IF($B47&lt;&gt;"",IFERROR(INDEX(Lib_Deg,MATCH($B47,Lib_Cod,0)),""),IF($C47&lt;&gt;"",$F47,""))</f>
        <v/>
      </c>
      <c r="N47" s="15" t="str">
        <f aca="false">IF($B47&lt;&gt;"",IFERROR(INDEX(Lib_PA,MATCH($B47,Lib_Cod,0)),""),"")</f>
        <v/>
      </c>
      <c r="O47" s="15" t="str">
        <f aca="false">IF($B47&lt;&gt;"",IFERROR(INDEX(Lib_PIA,MATCH($B47,Lib_Cod,0)),""),"")</f>
        <v/>
      </c>
      <c r="P47" s="15" t="str">
        <f aca="false">IF($B47&lt;&gt;"","Biblioteca",IF($C47&lt;&gt;"","Própria",""))</f>
        <v/>
      </c>
      <c r="Q47" s="19" t="n">
        <f aca="false">IF(AND($J47&lt;&gt;"",$J47&lt;&gt;"Código inválido",$H47&lt;&gt;"Excluído"),1,0)</f>
        <v>0</v>
      </c>
      <c r="R47" s="18" t="str">
        <f aca="false">IF(AND($B47&lt;&gt;"",$C47&lt;&gt;""),"Use o código OU um nome próprio",IF(AND($B47&lt;&gt;"",COUNTIF($B$6:$B$105,$B47)&gt;1),"Código já cadastrado",IF(AND($C47&lt;&gt;"",OR($D47="",$F47="")),"Informe área e 1º degrau","")))</f>
        <v/>
      </c>
    </row>
    <row r="48" customFormat="false" ht="15" hidden="false" customHeight="false" outlineLevel="0" collapsed="false">
      <c r="A48" s="15" t="n">
        <v>43</v>
      </c>
      <c r="B48" s="16"/>
      <c r="C48" s="17"/>
      <c r="D48" s="16"/>
      <c r="E48" s="16"/>
      <c r="F48" s="16"/>
      <c r="G48" s="16"/>
      <c r="H48" s="16"/>
      <c r="I48" s="17"/>
      <c r="J48" s="18" t="str">
        <f aca="false">IF($B48&lt;&gt;"",IFERROR(INDEX(Lib_Proc,MATCH($B48,Lib_Cod,0)),"Código inválido"),IF($C48&lt;&gt;"",$C48,""))</f>
        <v/>
      </c>
      <c r="K48" s="15" t="str">
        <f aca="false">IF($B48&lt;&gt;"",IFERROR(INDEX(Lib_Area,MATCH($B48,Lib_Cod,0)),""),IF($C48&lt;&gt;"",$D48,""))</f>
        <v/>
      </c>
      <c r="L48" s="15" t="str">
        <f aca="false">IF($B48&lt;&gt;"",IFERROR(INDEX(Lib_Sinal,MATCH($B48,Lib_Cod,0)),""),IF($C48&lt;&gt;"",$E48,""))</f>
        <v/>
      </c>
      <c r="M48" s="15" t="str">
        <f aca="false">IF($B48&lt;&gt;"",IFERROR(INDEX(Lib_Deg,MATCH($B48,Lib_Cod,0)),""),IF($C48&lt;&gt;"",$F48,""))</f>
        <v/>
      </c>
      <c r="N48" s="15" t="str">
        <f aca="false">IF($B48&lt;&gt;"",IFERROR(INDEX(Lib_PA,MATCH($B48,Lib_Cod,0)),""),"")</f>
        <v/>
      </c>
      <c r="O48" s="15" t="str">
        <f aca="false">IF($B48&lt;&gt;"",IFERROR(INDEX(Lib_PIA,MATCH($B48,Lib_Cod,0)),""),"")</f>
        <v/>
      </c>
      <c r="P48" s="15" t="str">
        <f aca="false">IF($B48&lt;&gt;"","Biblioteca",IF($C48&lt;&gt;"","Própria",""))</f>
        <v/>
      </c>
      <c r="Q48" s="19" t="n">
        <f aca="false">IF(AND($J48&lt;&gt;"",$J48&lt;&gt;"Código inválido",$H48&lt;&gt;"Excluído"),1,0)</f>
        <v>0</v>
      </c>
      <c r="R48" s="18" t="str">
        <f aca="false">IF(AND($B48&lt;&gt;"",$C48&lt;&gt;""),"Use o código OU um nome próprio",IF(AND($B48&lt;&gt;"",COUNTIF($B$6:$B$105,$B48)&gt;1),"Código já cadastrado",IF(AND($C48&lt;&gt;"",OR($D48="",$F48="")),"Informe área e 1º degrau","")))</f>
        <v/>
      </c>
    </row>
    <row r="49" customFormat="false" ht="15" hidden="false" customHeight="false" outlineLevel="0" collapsed="false">
      <c r="A49" s="15" t="n">
        <v>44</v>
      </c>
      <c r="B49" s="16"/>
      <c r="C49" s="17"/>
      <c r="D49" s="16"/>
      <c r="E49" s="16"/>
      <c r="F49" s="16"/>
      <c r="G49" s="16"/>
      <c r="H49" s="16"/>
      <c r="I49" s="17"/>
      <c r="J49" s="18" t="str">
        <f aca="false">IF($B49&lt;&gt;"",IFERROR(INDEX(Lib_Proc,MATCH($B49,Lib_Cod,0)),"Código inválido"),IF($C49&lt;&gt;"",$C49,""))</f>
        <v/>
      </c>
      <c r="K49" s="15" t="str">
        <f aca="false">IF($B49&lt;&gt;"",IFERROR(INDEX(Lib_Area,MATCH($B49,Lib_Cod,0)),""),IF($C49&lt;&gt;"",$D49,""))</f>
        <v/>
      </c>
      <c r="L49" s="15" t="str">
        <f aca="false">IF($B49&lt;&gt;"",IFERROR(INDEX(Lib_Sinal,MATCH($B49,Lib_Cod,0)),""),IF($C49&lt;&gt;"",$E49,""))</f>
        <v/>
      </c>
      <c r="M49" s="15" t="str">
        <f aca="false">IF($B49&lt;&gt;"",IFERROR(INDEX(Lib_Deg,MATCH($B49,Lib_Cod,0)),""),IF($C49&lt;&gt;"",$F49,""))</f>
        <v/>
      </c>
      <c r="N49" s="15" t="str">
        <f aca="false">IF($B49&lt;&gt;"",IFERROR(INDEX(Lib_PA,MATCH($B49,Lib_Cod,0)),""),"")</f>
        <v/>
      </c>
      <c r="O49" s="15" t="str">
        <f aca="false">IF($B49&lt;&gt;"",IFERROR(INDEX(Lib_PIA,MATCH($B49,Lib_Cod,0)),""),"")</f>
        <v/>
      </c>
      <c r="P49" s="15" t="str">
        <f aca="false">IF($B49&lt;&gt;"","Biblioteca",IF($C49&lt;&gt;"","Própria",""))</f>
        <v/>
      </c>
      <c r="Q49" s="19" t="n">
        <f aca="false">IF(AND($J49&lt;&gt;"",$J49&lt;&gt;"Código inválido",$H49&lt;&gt;"Excluído"),1,0)</f>
        <v>0</v>
      </c>
      <c r="R49" s="18" t="str">
        <f aca="false">IF(AND($B49&lt;&gt;"",$C49&lt;&gt;""),"Use o código OU um nome próprio",IF(AND($B49&lt;&gt;"",COUNTIF($B$6:$B$105,$B49)&gt;1),"Código já cadastrado",IF(AND($C49&lt;&gt;"",OR($D49="",$F49="")),"Informe área e 1º degrau","")))</f>
        <v/>
      </c>
    </row>
    <row r="50" customFormat="false" ht="15" hidden="false" customHeight="false" outlineLevel="0" collapsed="false">
      <c r="A50" s="15" t="n">
        <v>45</v>
      </c>
      <c r="B50" s="16"/>
      <c r="C50" s="17"/>
      <c r="D50" s="16"/>
      <c r="E50" s="16"/>
      <c r="F50" s="16"/>
      <c r="G50" s="16"/>
      <c r="H50" s="16"/>
      <c r="I50" s="17"/>
      <c r="J50" s="18" t="str">
        <f aca="false">IF($B50&lt;&gt;"",IFERROR(INDEX(Lib_Proc,MATCH($B50,Lib_Cod,0)),"Código inválido"),IF($C50&lt;&gt;"",$C50,""))</f>
        <v/>
      </c>
      <c r="K50" s="15" t="str">
        <f aca="false">IF($B50&lt;&gt;"",IFERROR(INDEX(Lib_Area,MATCH($B50,Lib_Cod,0)),""),IF($C50&lt;&gt;"",$D50,""))</f>
        <v/>
      </c>
      <c r="L50" s="15" t="str">
        <f aca="false">IF($B50&lt;&gt;"",IFERROR(INDEX(Lib_Sinal,MATCH($B50,Lib_Cod,0)),""),IF($C50&lt;&gt;"",$E50,""))</f>
        <v/>
      </c>
      <c r="M50" s="15" t="str">
        <f aca="false">IF($B50&lt;&gt;"",IFERROR(INDEX(Lib_Deg,MATCH($B50,Lib_Cod,0)),""),IF($C50&lt;&gt;"",$F50,""))</f>
        <v/>
      </c>
      <c r="N50" s="15" t="str">
        <f aca="false">IF($B50&lt;&gt;"",IFERROR(INDEX(Lib_PA,MATCH($B50,Lib_Cod,0)),""),"")</f>
        <v/>
      </c>
      <c r="O50" s="15" t="str">
        <f aca="false">IF($B50&lt;&gt;"",IFERROR(INDEX(Lib_PIA,MATCH($B50,Lib_Cod,0)),""),"")</f>
        <v/>
      </c>
      <c r="P50" s="15" t="str">
        <f aca="false">IF($B50&lt;&gt;"","Biblioteca",IF($C50&lt;&gt;"","Própria",""))</f>
        <v/>
      </c>
      <c r="Q50" s="19" t="n">
        <f aca="false">IF(AND($J50&lt;&gt;"",$J50&lt;&gt;"Código inválido",$H50&lt;&gt;"Excluído"),1,0)</f>
        <v>0</v>
      </c>
      <c r="R50" s="18" t="str">
        <f aca="false">IF(AND($B50&lt;&gt;"",$C50&lt;&gt;""),"Use o código OU um nome próprio",IF(AND($B50&lt;&gt;"",COUNTIF($B$6:$B$105,$B50)&gt;1),"Código já cadastrado",IF(AND($C50&lt;&gt;"",OR($D50="",$F50="")),"Informe área e 1º degrau","")))</f>
        <v/>
      </c>
    </row>
    <row r="51" customFormat="false" ht="15" hidden="false" customHeight="false" outlineLevel="0" collapsed="false">
      <c r="A51" s="15" t="n">
        <v>46</v>
      </c>
      <c r="B51" s="16"/>
      <c r="C51" s="17"/>
      <c r="D51" s="16"/>
      <c r="E51" s="16"/>
      <c r="F51" s="16"/>
      <c r="G51" s="16"/>
      <c r="H51" s="16"/>
      <c r="I51" s="17"/>
      <c r="J51" s="18" t="str">
        <f aca="false">IF($B51&lt;&gt;"",IFERROR(INDEX(Lib_Proc,MATCH($B51,Lib_Cod,0)),"Código inválido"),IF($C51&lt;&gt;"",$C51,""))</f>
        <v/>
      </c>
      <c r="K51" s="15" t="str">
        <f aca="false">IF($B51&lt;&gt;"",IFERROR(INDEX(Lib_Area,MATCH($B51,Lib_Cod,0)),""),IF($C51&lt;&gt;"",$D51,""))</f>
        <v/>
      </c>
      <c r="L51" s="15" t="str">
        <f aca="false">IF($B51&lt;&gt;"",IFERROR(INDEX(Lib_Sinal,MATCH($B51,Lib_Cod,0)),""),IF($C51&lt;&gt;"",$E51,""))</f>
        <v/>
      </c>
      <c r="M51" s="15" t="str">
        <f aca="false">IF($B51&lt;&gt;"",IFERROR(INDEX(Lib_Deg,MATCH($B51,Lib_Cod,0)),""),IF($C51&lt;&gt;"",$F51,""))</f>
        <v/>
      </c>
      <c r="N51" s="15" t="str">
        <f aca="false">IF($B51&lt;&gt;"",IFERROR(INDEX(Lib_PA,MATCH($B51,Lib_Cod,0)),""),"")</f>
        <v/>
      </c>
      <c r="O51" s="15" t="str">
        <f aca="false">IF($B51&lt;&gt;"",IFERROR(INDEX(Lib_PIA,MATCH($B51,Lib_Cod,0)),""),"")</f>
        <v/>
      </c>
      <c r="P51" s="15" t="str">
        <f aca="false">IF($B51&lt;&gt;"","Biblioteca",IF($C51&lt;&gt;"","Própria",""))</f>
        <v/>
      </c>
      <c r="Q51" s="19" t="n">
        <f aca="false">IF(AND($J51&lt;&gt;"",$J51&lt;&gt;"Código inválido",$H51&lt;&gt;"Excluído"),1,0)</f>
        <v>0</v>
      </c>
      <c r="R51" s="18" t="str">
        <f aca="false">IF(AND($B51&lt;&gt;"",$C51&lt;&gt;""),"Use o código OU um nome próprio",IF(AND($B51&lt;&gt;"",COUNTIF($B$6:$B$105,$B51)&gt;1),"Código já cadastrado",IF(AND($C51&lt;&gt;"",OR($D51="",$F51="")),"Informe área e 1º degrau","")))</f>
        <v/>
      </c>
    </row>
    <row r="52" customFormat="false" ht="15" hidden="false" customHeight="false" outlineLevel="0" collapsed="false">
      <c r="A52" s="15" t="n">
        <v>47</v>
      </c>
      <c r="B52" s="16"/>
      <c r="C52" s="17"/>
      <c r="D52" s="16"/>
      <c r="E52" s="16"/>
      <c r="F52" s="16"/>
      <c r="G52" s="16"/>
      <c r="H52" s="16"/>
      <c r="I52" s="17"/>
      <c r="J52" s="18" t="str">
        <f aca="false">IF($B52&lt;&gt;"",IFERROR(INDEX(Lib_Proc,MATCH($B52,Lib_Cod,0)),"Código inválido"),IF($C52&lt;&gt;"",$C52,""))</f>
        <v/>
      </c>
      <c r="K52" s="15" t="str">
        <f aca="false">IF($B52&lt;&gt;"",IFERROR(INDEX(Lib_Area,MATCH($B52,Lib_Cod,0)),""),IF($C52&lt;&gt;"",$D52,""))</f>
        <v/>
      </c>
      <c r="L52" s="15" t="str">
        <f aca="false">IF($B52&lt;&gt;"",IFERROR(INDEX(Lib_Sinal,MATCH($B52,Lib_Cod,0)),""),IF($C52&lt;&gt;"",$E52,""))</f>
        <v/>
      </c>
      <c r="M52" s="15" t="str">
        <f aca="false">IF($B52&lt;&gt;"",IFERROR(INDEX(Lib_Deg,MATCH($B52,Lib_Cod,0)),""),IF($C52&lt;&gt;"",$F52,""))</f>
        <v/>
      </c>
      <c r="N52" s="15" t="str">
        <f aca="false">IF($B52&lt;&gt;"",IFERROR(INDEX(Lib_PA,MATCH($B52,Lib_Cod,0)),""),"")</f>
        <v/>
      </c>
      <c r="O52" s="15" t="str">
        <f aca="false">IF($B52&lt;&gt;"",IFERROR(INDEX(Lib_PIA,MATCH($B52,Lib_Cod,0)),""),"")</f>
        <v/>
      </c>
      <c r="P52" s="15" t="str">
        <f aca="false">IF($B52&lt;&gt;"","Biblioteca",IF($C52&lt;&gt;"","Própria",""))</f>
        <v/>
      </c>
      <c r="Q52" s="19" t="n">
        <f aca="false">IF(AND($J52&lt;&gt;"",$J52&lt;&gt;"Código inválido",$H52&lt;&gt;"Excluído"),1,0)</f>
        <v>0</v>
      </c>
      <c r="R52" s="18" t="str">
        <f aca="false">IF(AND($B52&lt;&gt;"",$C52&lt;&gt;""),"Use o código OU um nome próprio",IF(AND($B52&lt;&gt;"",COUNTIF($B$6:$B$105,$B52)&gt;1),"Código já cadastrado",IF(AND($C52&lt;&gt;"",OR($D52="",$F52="")),"Informe área e 1º degrau","")))</f>
        <v/>
      </c>
    </row>
    <row r="53" customFormat="false" ht="15" hidden="false" customHeight="false" outlineLevel="0" collapsed="false">
      <c r="A53" s="15" t="n">
        <v>48</v>
      </c>
      <c r="B53" s="16"/>
      <c r="C53" s="17"/>
      <c r="D53" s="16"/>
      <c r="E53" s="16"/>
      <c r="F53" s="16"/>
      <c r="G53" s="16"/>
      <c r="H53" s="16"/>
      <c r="I53" s="17"/>
      <c r="J53" s="18" t="str">
        <f aca="false">IF($B53&lt;&gt;"",IFERROR(INDEX(Lib_Proc,MATCH($B53,Lib_Cod,0)),"Código inválido"),IF($C53&lt;&gt;"",$C53,""))</f>
        <v/>
      </c>
      <c r="K53" s="15" t="str">
        <f aca="false">IF($B53&lt;&gt;"",IFERROR(INDEX(Lib_Area,MATCH($B53,Lib_Cod,0)),""),IF($C53&lt;&gt;"",$D53,""))</f>
        <v/>
      </c>
      <c r="L53" s="15" t="str">
        <f aca="false">IF($B53&lt;&gt;"",IFERROR(INDEX(Lib_Sinal,MATCH($B53,Lib_Cod,0)),""),IF($C53&lt;&gt;"",$E53,""))</f>
        <v/>
      </c>
      <c r="M53" s="15" t="str">
        <f aca="false">IF($B53&lt;&gt;"",IFERROR(INDEX(Lib_Deg,MATCH($B53,Lib_Cod,0)),""),IF($C53&lt;&gt;"",$F53,""))</f>
        <v/>
      </c>
      <c r="N53" s="15" t="str">
        <f aca="false">IF($B53&lt;&gt;"",IFERROR(INDEX(Lib_PA,MATCH($B53,Lib_Cod,0)),""),"")</f>
        <v/>
      </c>
      <c r="O53" s="15" t="str">
        <f aca="false">IF($B53&lt;&gt;"",IFERROR(INDEX(Lib_PIA,MATCH($B53,Lib_Cod,0)),""),"")</f>
        <v/>
      </c>
      <c r="P53" s="15" t="str">
        <f aca="false">IF($B53&lt;&gt;"","Biblioteca",IF($C53&lt;&gt;"","Própria",""))</f>
        <v/>
      </c>
      <c r="Q53" s="19" t="n">
        <f aca="false">IF(AND($J53&lt;&gt;"",$J53&lt;&gt;"Código inválido",$H53&lt;&gt;"Excluído"),1,0)</f>
        <v>0</v>
      </c>
      <c r="R53" s="18" t="str">
        <f aca="false">IF(AND($B53&lt;&gt;"",$C53&lt;&gt;""),"Use o código OU um nome próprio",IF(AND($B53&lt;&gt;"",COUNTIF($B$6:$B$105,$B53)&gt;1),"Código já cadastrado",IF(AND($C53&lt;&gt;"",OR($D53="",$F53="")),"Informe área e 1º degrau","")))</f>
        <v/>
      </c>
    </row>
    <row r="54" customFormat="false" ht="15" hidden="false" customHeight="false" outlineLevel="0" collapsed="false">
      <c r="A54" s="15" t="n">
        <v>49</v>
      </c>
      <c r="B54" s="16"/>
      <c r="C54" s="17"/>
      <c r="D54" s="16"/>
      <c r="E54" s="16"/>
      <c r="F54" s="16"/>
      <c r="G54" s="16"/>
      <c r="H54" s="16"/>
      <c r="I54" s="17"/>
      <c r="J54" s="18" t="str">
        <f aca="false">IF($B54&lt;&gt;"",IFERROR(INDEX(Lib_Proc,MATCH($B54,Lib_Cod,0)),"Código inválido"),IF($C54&lt;&gt;"",$C54,""))</f>
        <v/>
      </c>
      <c r="K54" s="15" t="str">
        <f aca="false">IF($B54&lt;&gt;"",IFERROR(INDEX(Lib_Area,MATCH($B54,Lib_Cod,0)),""),IF($C54&lt;&gt;"",$D54,""))</f>
        <v/>
      </c>
      <c r="L54" s="15" t="str">
        <f aca="false">IF($B54&lt;&gt;"",IFERROR(INDEX(Lib_Sinal,MATCH($B54,Lib_Cod,0)),""),IF($C54&lt;&gt;"",$E54,""))</f>
        <v/>
      </c>
      <c r="M54" s="15" t="str">
        <f aca="false">IF($B54&lt;&gt;"",IFERROR(INDEX(Lib_Deg,MATCH($B54,Lib_Cod,0)),""),IF($C54&lt;&gt;"",$F54,""))</f>
        <v/>
      </c>
      <c r="N54" s="15" t="str">
        <f aca="false">IF($B54&lt;&gt;"",IFERROR(INDEX(Lib_PA,MATCH($B54,Lib_Cod,0)),""),"")</f>
        <v/>
      </c>
      <c r="O54" s="15" t="str">
        <f aca="false">IF($B54&lt;&gt;"",IFERROR(INDEX(Lib_PIA,MATCH($B54,Lib_Cod,0)),""),"")</f>
        <v/>
      </c>
      <c r="P54" s="15" t="str">
        <f aca="false">IF($B54&lt;&gt;"","Biblioteca",IF($C54&lt;&gt;"","Própria",""))</f>
        <v/>
      </c>
      <c r="Q54" s="19" t="n">
        <f aca="false">IF(AND($J54&lt;&gt;"",$J54&lt;&gt;"Código inválido",$H54&lt;&gt;"Excluído"),1,0)</f>
        <v>0</v>
      </c>
      <c r="R54" s="18" t="str">
        <f aca="false">IF(AND($B54&lt;&gt;"",$C54&lt;&gt;""),"Use o código OU um nome próprio",IF(AND($B54&lt;&gt;"",COUNTIF($B$6:$B$105,$B54)&gt;1),"Código já cadastrado",IF(AND($C54&lt;&gt;"",OR($D54="",$F54="")),"Informe área e 1º degrau","")))</f>
        <v/>
      </c>
    </row>
    <row r="55" customFormat="false" ht="15" hidden="false" customHeight="false" outlineLevel="0" collapsed="false">
      <c r="A55" s="15" t="n">
        <v>50</v>
      </c>
      <c r="B55" s="16"/>
      <c r="C55" s="17"/>
      <c r="D55" s="16"/>
      <c r="E55" s="16"/>
      <c r="F55" s="16"/>
      <c r="G55" s="16"/>
      <c r="H55" s="16"/>
      <c r="I55" s="17"/>
      <c r="J55" s="18" t="str">
        <f aca="false">IF($B55&lt;&gt;"",IFERROR(INDEX(Lib_Proc,MATCH($B55,Lib_Cod,0)),"Código inválido"),IF($C55&lt;&gt;"",$C55,""))</f>
        <v/>
      </c>
      <c r="K55" s="15" t="str">
        <f aca="false">IF($B55&lt;&gt;"",IFERROR(INDEX(Lib_Area,MATCH($B55,Lib_Cod,0)),""),IF($C55&lt;&gt;"",$D55,""))</f>
        <v/>
      </c>
      <c r="L55" s="15" t="str">
        <f aca="false">IF($B55&lt;&gt;"",IFERROR(INDEX(Lib_Sinal,MATCH($B55,Lib_Cod,0)),""),IF($C55&lt;&gt;"",$E55,""))</f>
        <v/>
      </c>
      <c r="M55" s="15" t="str">
        <f aca="false">IF($B55&lt;&gt;"",IFERROR(INDEX(Lib_Deg,MATCH($B55,Lib_Cod,0)),""),IF($C55&lt;&gt;"",$F55,""))</f>
        <v/>
      </c>
      <c r="N55" s="15" t="str">
        <f aca="false">IF($B55&lt;&gt;"",IFERROR(INDEX(Lib_PA,MATCH($B55,Lib_Cod,0)),""),"")</f>
        <v/>
      </c>
      <c r="O55" s="15" t="str">
        <f aca="false">IF($B55&lt;&gt;"",IFERROR(INDEX(Lib_PIA,MATCH($B55,Lib_Cod,0)),""),"")</f>
        <v/>
      </c>
      <c r="P55" s="15" t="str">
        <f aca="false">IF($B55&lt;&gt;"","Biblioteca",IF($C55&lt;&gt;"","Própria",""))</f>
        <v/>
      </c>
      <c r="Q55" s="19" t="n">
        <f aca="false">IF(AND($J55&lt;&gt;"",$J55&lt;&gt;"Código inválido",$H55&lt;&gt;"Excluído"),1,0)</f>
        <v>0</v>
      </c>
      <c r="R55" s="18" t="str">
        <f aca="false">IF(AND($B55&lt;&gt;"",$C55&lt;&gt;""),"Use o código OU um nome próprio",IF(AND($B55&lt;&gt;"",COUNTIF($B$6:$B$105,$B55)&gt;1),"Código já cadastrado",IF(AND($C55&lt;&gt;"",OR($D55="",$F55="")),"Informe área e 1º degrau","")))</f>
        <v/>
      </c>
    </row>
    <row r="56" customFormat="false" ht="15" hidden="false" customHeight="false" outlineLevel="0" collapsed="false">
      <c r="A56" s="15" t="n">
        <v>51</v>
      </c>
      <c r="B56" s="16"/>
      <c r="C56" s="17"/>
      <c r="D56" s="16"/>
      <c r="E56" s="16"/>
      <c r="F56" s="16"/>
      <c r="G56" s="16"/>
      <c r="H56" s="16"/>
      <c r="I56" s="17"/>
      <c r="J56" s="18" t="str">
        <f aca="false">IF($B56&lt;&gt;"",IFERROR(INDEX(Lib_Proc,MATCH($B56,Lib_Cod,0)),"Código inválido"),IF($C56&lt;&gt;"",$C56,""))</f>
        <v/>
      </c>
      <c r="K56" s="15" t="str">
        <f aca="false">IF($B56&lt;&gt;"",IFERROR(INDEX(Lib_Area,MATCH($B56,Lib_Cod,0)),""),IF($C56&lt;&gt;"",$D56,""))</f>
        <v/>
      </c>
      <c r="L56" s="15" t="str">
        <f aca="false">IF($B56&lt;&gt;"",IFERROR(INDEX(Lib_Sinal,MATCH($B56,Lib_Cod,0)),""),IF($C56&lt;&gt;"",$E56,""))</f>
        <v/>
      </c>
      <c r="M56" s="15" t="str">
        <f aca="false">IF($B56&lt;&gt;"",IFERROR(INDEX(Lib_Deg,MATCH($B56,Lib_Cod,0)),""),IF($C56&lt;&gt;"",$F56,""))</f>
        <v/>
      </c>
      <c r="N56" s="15" t="str">
        <f aca="false">IF($B56&lt;&gt;"",IFERROR(INDEX(Lib_PA,MATCH($B56,Lib_Cod,0)),""),"")</f>
        <v/>
      </c>
      <c r="O56" s="15" t="str">
        <f aca="false">IF($B56&lt;&gt;"",IFERROR(INDEX(Lib_PIA,MATCH($B56,Lib_Cod,0)),""),"")</f>
        <v/>
      </c>
      <c r="P56" s="15" t="str">
        <f aca="false">IF($B56&lt;&gt;"","Biblioteca",IF($C56&lt;&gt;"","Própria",""))</f>
        <v/>
      </c>
      <c r="Q56" s="19" t="n">
        <f aca="false">IF(AND($J56&lt;&gt;"",$J56&lt;&gt;"Código inválido",$H56&lt;&gt;"Excluído"),1,0)</f>
        <v>0</v>
      </c>
      <c r="R56" s="18" t="str">
        <f aca="false">IF(AND($B56&lt;&gt;"",$C56&lt;&gt;""),"Use o código OU um nome próprio",IF(AND($B56&lt;&gt;"",COUNTIF($B$6:$B$105,$B56)&gt;1),"Código já cadastrado",IF(AND($C56&lt;&gt;"",OR($D56="",$F56="")),"Informe área e 1º degrau","")))</f>
        <v/>
      </c>
    </row>
    <row r="57" customFormat="false" ht="15" hidden="false" customHeight="false" outlineLevel="0" collapsed="false">
      <c r="A57" s="15" t="n">
        <v>52</v>
      </c>
      <c r="B57" s="16"/>
      <c r="C57" s="17"/>
      <c r="D57" s="16"/>
      <c r="E57" s="16"/>
      <c r="F57" s="16"/>
      <c r="G57" s="16"/>
      <c r="H57" s="16"/>
      <c r="I57" s="17"/>
      <c r="J57" s="18" t="str">
        <f aca="false">IF($B57&lt;&gt;"",IFERROR(INDEX(Lib_Proc,MATCH($B57,Lib_Cod,0)),"Código inválido"),IF($C57&lt;&gt;"",$C57,""))</f>
        <v/>
      </c>
      <c r="K57" s="15" t="str">
        <f aca="false">IF($B57&lt;&gt;"",IFERROR(INDEX(Lib_Area,MATCH($B57,Lib_Cod,0)),""),IF($C57&lt;&gt;"",$D57,""))</f>
        <v/>
      </c>
      <c r="L57" s="15" t="str">
        <f aca="false">IF($B57&lt;&gt;"",IFERROR(INDEX(Lib_Sinal,MATCH($B57,Lib_Cod,0)),""),IF($C57&lt;&gt;"",$E57,""))</f>
        <v/>
      </c>
      <c r="M57" s="15" t="str">
        <f aca="false">IF($B57&lt;&gt;"",IFERROR(INDEX(Lib_Deg,MATCH($B57,Lib_Cod,0)),""),IF($C57&lt;&gt;"",$F57,""))</f>
        <v/>
      </c>
      <c r="N57" s="15" t="str">
        <f aca="false">IF($B57&lt;&gt;"",IFERROR(INDEX(Lib_PA,MATCH($B57,Lib_Cod,0)),""),"")</f>
        <v/>
      </c>
      <c r="O57" s="15" t="str">
        <f aca="false">IF($B57&lt;&gt;"",IFERROR(INDEX(Lib_PIA,MATCH($B57,Lib_Cod,0)),""),"")</f>
        <v/>
      </c>
      <c r="P57" s="15" t="str">
        <f aca="false">IF($B57&lt;&gt;"","Biblioteca",IF($C57&lt;&gt;"","Própria",""))</f>
        <v/>
      </c>
      <c r="Q57" s="19" t="n">
        <f aca="false">IF(AND($J57&lt;&gt;"",$J57&lt;&gt;"Código inválido",$H57&lt;&gt;"Excluído"),1,0)</f>
        <v>0</v>
      </c>
      <c r="R57" s="18" t="str">
        <f aca="false">IF(AND($B57&lt;&gt;"",$C57&lt;&gt;""),"Use o código OU um nome próprio",IF(AND($B57&lt;&gt;"",COUNTIF($B$6:$B$105,$B57)&gt;1),"Código já cadastrado",IF(AND($C57&lt;&gt;"",OR($D57="",$F57="")),"Informe área e 1º degrau","")))</f>
        <v/>
      </c>
    </row>
    <row r="58" customFormat="false" ht="15" hidden="false" customHeight="false" outlineLevel="0" collapsed="false">
      <c r="A58" s="15" t="n">
        <v>53</v>
      </c>
      <c r="B58" s="16"/>
      <c r="C58" s="17"/>
      <c r="D58" s="16"/>
      <c r="E58" s="16"/>
      <c r="F58" s="16"/>
      <c r="G58" s="16"/>
      <c r="H58" s="16"/>
      <c r="I58" s="17"/>
      <c r="J58" s="18" t="str">
        <f aca="false">IF($B58&lt;&gt;"",IFERROR(INDEX(Lib_Proc,MATCH($B58,Lib_Cod,0)),"Código inválido"),IF($C58&lt;&gt;"",$C58,""))</f>
        <v/>
      </c>
      <c r="K58" s="15" t="str">
        <f aca="false">IF($B58&lt;&gt;"",IFERROR(INDEX(Lib_Area,MATCH($B58,Lib_Cod,0)),""),IF($C58&lt;&gt;"",$D58,""))</f>
        <v/>
      </c>
      <c r="L58" s="15" t="str">
        <f aca="false">IF($B58&lt;&gt;"",IFERROR(INDEX(Lib_Sinal,MATCH($B58,Lib_Cod,0)),""),IF($C58&lt;&gt;"",$E58,""))</f>
        <v/>
      </c>
      <c r="M58" s="15" t="str">
        <f aca="false">IF($B58&lt;&gt;"",IFERROR(INDEX(Lib_Deg,MATCH($B58,Lib_Cod,0)),""),IF($C58&lt;&gt;"",$F58,""))</f>
        <v/>
      </c>
      <c r="N58" s="15" t="str">
        <f aca="false">IF($B58&lt;&gt;"",IFERROR(INDEX(Lib_PA,MATCH($B58,Lib_Cod,0)),""),"")</f>
        <v/>
      </c>
      <c r="O58" s="15" t="str">
        <f aca="false">IF($B58&lt;&gt;"",IFERROR(INDEX(Lib_PIA,MATCH($B58,Lib_Cod,0)),""),"")</f>
        <v/>
      </c>
      <c r="P58" s="15" t="str">
        <f aca="false">IF($B58&lt;&gt;"","Biblioteca",IF($C58&lt;&gt;"","Própria",""))</f>
        <v/>
      </c>
      <c r="Q58" s="19" t="n">
        <f aca="false">IF(AND($J58&lt;&gt;"",$J58&lt;&gt;"Código inválido",$H58&lt;&gt;"Excluído"),1,0)</f>
        <v>0</v>
      </c>
      <c r="R58" s="18" t="str">
        <f aca="false">IF(AND($B58&lt;&gt;"",$C58&lt;&gt;""),"Use o código OU um nome próprio",IF(AND($B58&lt;&gt;"",COUNTIF($B$6:$B$105,$B58)&gt;1),"Código já cadastrado",IF(AND($C58&lt;&gt;"",OR($D58="",$F58="")),"Informe área e 1º degrau","")))</f>
        <v/>
      </c>
    </row>
    <row r="59" customFormat="false" ht="15" hidden="false" customHeight="false" outlineLevel="0" collapsed="false">
      <c r="A59" s="15" t="n">
        <v>54</v>
      </c>
      <c r="B59" s="16"/>
      <c r="C59" s="17"/>
      <c r="D59" s="16"/>
      <c r="E59" s="16"/>
      <c r="F59" s="16"/>
      <c r="G59" s="16"/>
      <c r="H59" s="16"/>
      <c r="I59" s="17"/>
      <c r="J59" s="18" t="str">
        <f aca="false">IF($B59&lt;&gt;"",IFERROR(INDEX(Lib_Proc,MATCH($B59,Lib_Cod,0)),"Código inválido"),IF($C59&lt;&gt;"",$C59,""))</f>
        <v/>
      </c>
      <c r="K59" s="15" t="str">
        <f aca="false">IF($B59&lt;&gt;"",IFERROR(INDEX(Lib_Area,MATCH($B59,Lib_Cod,0)),""),IF($C59&lt;&gt;"",$D59,""))</f>
        <v/>
      </c>
      <c r="L59" s="15" t="str">
        <f aca="false">IF($B59&lt;&gt;"",IFERROR(INDEX(Lib_Sinal,MATCH($B59,Lib_Cod,0)),""),IF($C59&lt;&gt;"",$E59,""))</f>
        <v/>
      </c>
      <c r="M59" s="15" t="str">
        <f aca="false">IF($B59&lt;&gt;"",IFERROR(INDEX(Lib_Deg,MATCH($B59,Lib_Cod,0)),""),IF($C59&lt;&gt;"",$F59,""))</f>
        <v/>
      </c>
      <c r="N59" s="15" t="str">
        <f aca="false">IF($B59&lt;&gt;"",IFERROR(INDEX(Lib_PA,MATCH($B59,Lib_Cod,0)),""),"")</f>
        <v/>
      </c>
      <c r="O59" s="15" t="str">
        <f aca="false">IF($B59&lt;&gt;"",IFERROR(INDEX(Lib_PIA,MATCH($B59,Lib_Cod,0)),""),"")</f>
        <v/>
      </c>
      <c r="P59" s="15" t="str">
        <f aca="false">IF($B59&lt;&gt;"","Biblioteca",IF($C59&lt;&gt;"","Própria",""))</f>
        <v/>
      </c>
      <c r="Q59" s="19" t="n">
        <f aca="false">IF(AND($J59&lt;&gt;"",$J59&lt;&gt;"Código inválido",$H59&lt;&gt;"Excluído"),1,0)</f>
        <v>0</v>
      </c>
      <c r="R59" s="18" t="str">
        <f aca="false">IF(AND($B59&lt;&gt;"",$C59&lt;&gt;""),"Use o código OU um nome próprio",IF(AND($B59&lt;&gt;"",COUNTIF($B$6:$B$105,$B59)&gt;1),"Código já cadastrado",IF(AND($C59&lt;&gt;"",OR($D59="",$F59="")),"Informe área e 1º degrau","")))</f>
        <v/>
      </c>
    </row>
    <row r="60" customFormat="false" ht="15" hidden="false" customHeight="false" outlineLevel="0" collapsed="false">
      <c r="A60" s="15" t="n">
        <v>55</v>
      </c>
      <c r="B60" s="16"/>
      <c r="C60" s="17"/>
      <c r="D60" s="16"/>
      <c r="E60" s="16"/>
      <c r="F60" s="16"/>
      <c r="G60" s="16"/>
      <c r="H60" s="16"/>
      <c r="I60" s="17"/>
      <c r="J60" s="18" t="str">
        <f aca="false">IF($B60&lt;&gt;"",IFERROR(INDEX(Lib_Proc,MATCH($B60,Lib_Cod,0)),"Código inválido"),IF($C60&lt;&gt;"",$C60,""))</f>
        <v/>
      </c>
      <c r="K60" s="15" t="str">
        <f aca="false">IF($B60&lt;&gt;"",IFERROR(INDEX(Lib_Area,MATCH($B60,Lib_Cod,0)),""),IF($C60&lt;&gt;"",$D60,""))</f>
        <v/>
      </c>
      <c r="L60" s="15" t="str">
        <f aca="false">IF($B60&lt;&gt;"",IFERROR(INDEX(Lib_Sinal,MATCH($B60,Lib_Cod,0)),""),IF($C60&lt;&gt;"",$E60,""))</f>
        <v/>
      </c>
      <c r="M60" s="15" t="str">
        <f aca="false">IF($B60&lt;&gt;"",IFERROR(INDEX(Lib_Deg,MATCH($B60,Lib_Cod,0)),""),IF($C60&lt;&gt;"",$F60,""))</f>
        <v/>
      </c>
      <c r="N60" s="15" t="str">
        <f aca="false">IF($B60&lt;&gt;"",IFERROR(INDEX(Lib_PA,MATCH($B60,Lib_Cod,0)),""),"")</f>
        <v/>
      </c>
      <c r="O60" s="15" t="str">
        <f aca="false">IF($B60&lt;&gt;"",IFERROR(INDEX(Lib_PIA,MATCH($B60,Lib_Cod,0)),""),"")</f>
        <v/>
      </c>
      <c r="P60" s="15" t="str">
        <f aca="false">IF($B60&lt;&gt;"","Biblioteca",IF($C60&lt;&gt;"","Própria",""))</f>
        <v/>
      </c>
      <c r="Q60" s="19" t="n">
        <f aca="false">IF(AND($J60&lt;&gt;"",$J60&lt;&gt;"Código inválido",$H60&lt;&gt;"Excluído"),1,0)</f>
        <v>0</v>
      </c>
      <c r="R60" s="18" t="str">
        <f aca="false">IF(AND($B60&lt;&gt;"",$C60&lt;&gt;""),"Use o código OU um nome próprio",IF(AND($B60&lt;&gt;"",COUNTIF($B$6:$B$105,$B60)&gt;1),"Código já cadastrado",IF(AND($C60&lt;&gt;"",OR($D60="",$F60="")),"Informe área e 1º degrau","")))</f>
        <v/>
      </c>
    </row>
    <row r="61" customFormat="false" ht="15" hidden="false" customHeight="false" outlineLevel="0" collapsed="false">
      <c r="A61" s="15" t="n">
        <v>56</v>
      </c>
      <c r="B61" s="16"/>
      <c r="C61" s="17"/>
      <c r="D61" s="16"/>
      <c r="E61" s="16"/>
      <c r="F61" s="16"/>
      <c r="G61" s="16"/>
      <c r="H61" s="16"/>
      <c r="I61" s="17"/>
      <c r="J61" s="18" t="str">
        <f aca="false">IF($B61&lt;&gt;"",IFERROR(INDEX(Lib_Proc,MATCH($B61,Lib_Cod,0)),"Código inválido"),IF($C61&lt;&gt;"",$C61,""))</f>
        <v/>
      </c>
      <c r="K61" s="15" t="str">
        <f aca="false">IF($B61&lt;&gt;"",IFERROR(INDEX(Lib_Area,MATCH($B61,Lib_Cod,0)),""),IF($C61&lt;&gt;"",$D61,""))</f>
        <v/>
      </c>
      <c r="L61" s="15" t="str">
        <f aca="false">IF($B61&lt;&gt;"",IFERROR(INDEX(Lib_Sinal,MATCH($B61,Lib_Cod,0)),""),IF($C61&lt;&gt;"",$E61,""))</f>
        <v/>
      </c>
      <c r="M61" s="15" t="str">
        <f aca="false">IF($B61&lt;&gt;"",IFERROR(INDEX(Lib_Deg,MATCH($B61,Lib_Cod,0)),""),IF($C61&lt;&gt;"",$F61,""))</f>
        <v/>
      </c>
      <c r="N61" s="15" t="str">
        <f aca="false">IF($B61&lt;&gt;"",IFERROR(INDEX(Lib_PA,MATCH($B61,Lib_Cod,0)),""),"")</f>
        <v/>
      </c>
      <c r="O61" s="15" t="str">
        <f aca="false">IF($B61&lt;&gt;"",IFERROR(INDEX(Lib_PIA,MATCH($B61,Lib_Cod,0)),""),"")</f>
        <v/>
      </c>
      <c r="P61" s="15" t="str">
        <f aca="false">IF($B61&lt;&gt;"","Biblioteca",IF($C61&lt;&gt;"","Própria",""))</f>
        <v/>
      </c>
      <c r="Q61" s="19" t="n">
        <f aca="false">IF(AND($J61&lt;&gt;"",$J61&lt;&gt;"Código inválido",$H61&lt;&gt;"Excluído"),1,0)</f>
        <v>0</v>
      </c>
      <c r="R61" s="18" t="str">
        <f aca="false">IF(AND($B61&lt;&gt;"",$C61&lt;&gt;""),"Use o código OU um nome próprio",IF(AND($B61&lt;&gt;"",COUNTIF($B$6:$B$105,$B61)&gt;1),"Código já cadastrado",IF(AND($C61&lt;&gt;"",OR($D61="",$F61="")),"Informe área e 1º degrau","")))</f>
        <v/>
      </c>
    </row>
    <row r="62" customFormat="false" ht="15" hidden="false" customHeight="false" outlineLevel="0" collapsed="false">
      <c r="A62" s="15" t="n">
        <v>57</v>
      </c>
      <c r="B62" s="16"/>
      <c r="C62" s="17"/>
      <c r="D62" s="16"/>
      <c r="E62" s="16"/>
      <c r="F62" s="16"/>
      <c r="G62" s="16"/>
      <c r="H62" s="16"/>
      <c r="I62" s="17"/>
      <c r="J62" s="18" t="str">
        <f aca="false">IF($B62&lt;&gt;"",IFERROR(INDEX(Lib_Proc,MATCH($B62,Lib_Cod,0)),"Código inválido"),IF($C62&lt;&gt;"",$C62,""))</f>
        <v/>
      </c>
      <c r="K62" s="15" t="str">
        <f aca="false">IF($B62&lt;&gt;"",IFERROR(INDEX(Lib_Area,MATCH($B62,Lib_Cod,0)),""),IF($C62&lt;&gt;"",$D62,""))</f>
        <v/>
      </c>
      <c r="L62" s="15" t="str">
        <f aca="false">IF($B62&lt;&gt;"",IFERROR(INDEX(Lib_Sinal,MATCH($B62,Lib_Cod,0)),""),IF($C62&lt;&gt;"",$E62,""))</f>
        <v/>
      </c>
      <c r="M62" s="15" t="str">
        <f aca="false">IF($B62&lt;&gt;"",IFERROR(INDEX(Lib_Deg,MATCH($B62,Lib_Cod,0)),""),IF($C62&lt;&gt;"",$F62,""))</f>
        <v/>
      </c>
      <c r="N62" s="15" t="str">
        <f aca="false">IF($B62&lt;&gt;"",IFERROR(INDEX(Lib_PA,MATCH($B62,Lib_Cod,0)),""),"")</f>
        <v/>
      </c>
      <c r="O62" s="15" t="str">
        <f aca="false">IF($B62&lt;&gt;"",IFERROR(INDEX(Lib_PIA,MATCH($B62,Lib_Cod,0)),""),"")</f>
        <v/>
      </c>
      <c r="P62" s="15" t="str">
        <f aca="false">IF($B62&lt;&gt;"","Biblioteca",IF($C62&lt;&gt;"","Própria",""))</f>
        <v/>
      </c>
      <c r="Q62" s="19" t="n">
        <f aca="false">IF(AND($J62&lt;&gt;"",$J62&lt;&gt;"Código inválido",$H62&lt;&gt;"Excluído"),1,0)</f>
        <v>0</v>
      </c>
      <c r="R62" s="18" t="str">
        <f aca="false">IF(AND($B62&lt;&gt;"",$C62&lt;&gt;""),"Use o código OU um nome próprio",IF(AND($B62&lt;&gt;"",COUNTIF($B$6:$B$105,$B62)&gt;1),"Código já cadastrado",IF(AND($C62&lt;&gt;"",OR($D62="",$F62="")),"Informe área e 1º degrau","")))</f>
        <v/>
      </c>
    </row>
    <row r="63" customFormat="false" ht="15" hidden="false" customHeight="false" outlineLevel="0" collapsed="false">
      <c r="A63" s="15" t="n">
        <v>58</v>
      </c>
      <c r="B63" s="16"/>
      <c r="C63" s="17"/>
      <c r="D63" s="16"/>
      <c r="E63" s="16"/>
      <c r="F63" s="16"/>
      <c r="G63" s="16"/>
      <c r="H63" s="16"/>
      <c r="I63" s="17"/>
      <c r="J63" s="18" t="str">
        <f aca="false">IF($B63&lt;&gt;"",IFERROR(INDEX(Lib_Proc,MATCH($B63,Lib_Cod,0)),"Código inválido"),IF($C63&lt;&gt;"",$C63,""))</f>
        <v/>
      </c>
      <c r="K63" s="15" t="str">
        <f aca="false">IF($B63&lt;&gt;"",IFERROR(INDEX(Lib_Area,MATCH($B63,Lib_Cod,0)),""),IF($C63&lt;&gt;"",$D63,""))</f>
        <v/>
      </c>
      <c r="L63" s="15" t="str">
        <f aca="false">IF($B63&lt;&gt;"",IFERROR(INDEX(Lib_Sinal,MATCH($B63,Lib_Cod,0)),""),IF($C63&lt;&gt;"",$E63,""))</f>
        <v/>
      </c>
      <c r="M63" s="15" t="str">
        <f aca="false">IF($B63&lt;&gt;"",IFERROR(INDEX(Lib_Deg,MATCH($B63,Lib_Cod,0)),""),IF($C63&lt;&gt;"",$F63,""))</f>
        <v/>
      </c>
      <c r="N63" s="15" t="str">
        <f aca="false">IF($B63&lt;&gt;"",IFERROR(INDEX(Lib_PA,MATCH($B63,Lib_Cod,0)),""),"")</f>
        <v/>
      </c>
      <c r="O63" s="15" t="str">
        <f aca="false">IF($B63&lt;&gt;"",IFERROR(INDEX(Lib_PIA,MATCH($B63,Lib_Cod,0)),""),"")</f>
        <v/>
      </c>
      <c r="P63" s="15" t="str">
        <f aca="false">IF($B63&lt;&gt;"","Biblioteca",IF($C63&lt;&gt;"","Própria",""))</f>
        <v/>
      </c>
      <c r="Q63" s="19" t="n">
        <f aca="false">IF(AND($J63&lt;&gt;"",$J63&lt;&gt;"Código inválido",$H63&lt;&gt;"Excluído"),1,0)</f>
        <v>0</v>
      </c>
      <c r="R63" s="18" t="str">
        <f aca="false">IF(AND($B63&lt;&gt;"",$C63&lt;&gt;""),"Use o código OU um nome próprio",IF(AND($B63&lt;&gt;"",COUNTIF($B$6:$B$105,$B63)&gt;1),"Código já cadastrado",IF(AND($C63&lt;&gt;"",OR($D63="",$F63="")),"Informe área e 1º degrau","")))</f>
        <v/>
      </c>
    </row>
    <row r="64" customFormat="false" ht="15" hidden="false" customHeight="false" outlineLevel="0" collapsed="false">
      <c r="A64" s="15" t="n">
        <v>59</v>
      </c>
      <c r="B64" s="16"/>
      <c r="C64" s="17"/>
      <c r="D64" s="16"/>
      <c r="E64" s="16"/>
      <c r="F64" s="16"/>
      <c r="G64" s="16"/>
      <c r="H64" s="16"/>
      <c r="I64" s="17"/>
      <c r="J64" s="18" t="str">
        <f aca="false">IF($B64&lt;&gt;"",IFERROR(INDEX(Lib_Proc,MATCH($B64,Lib_Cod,0)),"Código inválido"),IF($C64&lt;&gt;"",$C64,""))</f>
        <v/>
      </c>
      <c r="K64" s="15" t="str">
        <f aca="false">IF($B64&lt;&gt;"",IFERROR(INDEX(Lib_Area,MATCH($B64,Lib_Cod,0)),""),IF($C64&lt;&gt;"",$D64,""))</f>
        <v/>
      </c>
      <c r="L64" s="15" t="str">
        <f aca="false">IF($B64&lt;&gt;"",IFERROR(INDEX(Lib_Sinal,MATCH($B64,Lib_Cod,0)),""),IF($C64&lt;&gt;"",$E64,""))</f>
        <v/>
      </c>
      <c r="M64" s="15" t="str">
        <f aca="false">IF($B64&lt;&gt;"",IFERROR(INDEX(Lib_Deg,MATCH($B64,Lib_Cod,0)),""),IF($C64&lt;&gt;"",$F64,""))</f>
        <v/>
      </c>
      <c r="N64" s="15" t="str">
        <f aca="false">IF($B64&lt;&gt;"",IFERROR(INDEX(Lib_PA,MATCH($B64,Lib_Cod,0)),""),"")</f>
        <v/>
      </c>
      <c r="O64" s="15" t="str">
        <f aca="false">IF($B64&lt;&gt;"",IFERROR(INDEX(Lib_PIA,MATCH($B64,Lib_Cod,0)),""),"")</f>
        <v/>
      </c>
      <c r="P64" s="15" t="str">
        <f aca="false">IF($B64&lt;&gt;"","Biblioteca",IF($C64&lt;&gt;"","Própria",""))</f>
        <v/>
      </c>
      <c r="Q64" s="19" t="n">
        <f aca="false">IF(AND($J64&lt;&gt;"",$J64&lt;&gt;"Código inválido",$H64&lt;&gt;"Excluído"),1,0)</f>
        <v>0</v>
      </c>
      <c r="R64" s="18" t="str">
        <f aca="false">IF(AND($B64&lt;&gt;"",$C64&lt;&gt;""),"Use o código OU um nome próprio",IF(AND($B64&lt;&gt;"",COUNTIF($B$6:$B$105,$B64)&gt;1),"Código já cadastrado",IF(AND($C64&lt;&gt;"",OR($D64="",$F64="")),"Informe área e 1º degrau","")))</f>
        <v/>
      </c>
    </row>
    <row r="65" customFormat="false" ht="15" hidden="false" customHeight="false" outlineLevel="0" collapsed="false">
      <c r="A65" s="15" t="n">
        <v>60</v>
      </c>
      <c r="B65" s="16"/>
      <c r="C65" s="17"/>
      <c r="D65" s="16"/>
      <c r="E65" s="16"/>
      <c r="F65" s="16"/>
      <c r="G65" s="16"/>
      <c r="H65" s="16"/>
      <c r="I65" s="17"/>
      <c r="J65" s="18" t="str">
        <f aca="false">IF($B65&lt;&gt;"",IFERROR(INDEX(Lib_Proc,MATCH($B65,Lib_Cod,0)),"Código inválido"),IF($C65&lt;&gt;"",$C65,""))</f>
        <v/>
      </c>
      <c r="K65" s="15" t="str">
        <f aca="false">IF($B65&lt;&gt;"",IFERROR(INDEX(Lib_Area,MATCH($B65,Lib_Cod,0)),""),IF($C65&lt;&gt;"",$D65,""))</f>
        <v/>
      </c>
      <c r="L65" s="15" t="str">
        <f aca="false">IF($B65&lt;&gt;"",IFERROR(INDEX(Lib_Sinal,MATCH($B65,Lib_Cod,0)),""),IF($C65&lt;&gt;"",$E65,""))</f>
        <v/>
      </c>
      <c r="M65" s="15" t="str">
        <f aca="false">IF($B65&lt;&gt;"",IFERROR(INDEX(Lib_Deg,MATCH($B65,Lib_Cod,0)),""),IF($C65&lt;&gt;"",$F65,""))</f>
        <v/>
      </c>
      <c r="N65" s="15" t="str">
        <f aca="false">IF($B65&lt;&gt;"",IFERROR(INDEX(Lib_PA,MATCH($B65,Lib_Cod,0)),""),"")</f>
        <v/>
      </c>
      <c r="O65" s="15" t="str">
        <f aca="false">IF($B65&lt;&gt;"",IFERROR(INDEX(Lib_PIA,MATCH($B65,Lib_Cod,0)),""),"")</f>
        <v/>
      </c>
      <c r="P65" s="15" t="str">
        <f aca="false">IF($B65&lt;&gt;"","Biblioteca",IF($C65&lt;&gt;"","Própria",""))</f>
        <v/>
      </c>
      <c r="Q65" s="19" t="n">
        <f aca="false">IF(AND($J65&lt;&gt;"",$J65&lt;&gt;"Código inválido",$H65&lt;&gt;"Excluído"),1,0)</f>
        <v>0</v>
      </c>
      <c r="R65" s="18" t="str">
        <f aca="false">IF(AND($B65&lt;&gt;"",$C65&lt;&gt;""),"Use o código OU um nome próprio",IF(AND($B65&lt;&gt;"",COUNTIF($B$6:$B$105,$B65)&gt;1),"Código já cadastrado",IF(AND($C65&lt;&gt;"",OR($D65="",$F65="")),"Informe área e 1º degrau","")))</f>
        <v/>
      </c>
    </row>
    <row r="66" customFormat="false" ht="15" hidden="false" customHeight="false" outlineLevel="0" collapsed="false">
      <c r="A66" s="15" t="n">
        <v>61</v>
      </c>
      <c r="B66" s="16"/>
      <c r="C66" s="17"/>
      <c r="D66" s="16"/>
      <c r="E66" s="16"/>
      <c r="F66" s="16"/>
      <c r="G66" s="16"/>
      <c r="H66" s="16"/>
      <c r="I66" s="17"/>
      <c r="J66" s="18" t="str">
        <f aca="false">IF($B66&lt;&gt;"",IFERROR(INDEX(Lib_Proc,MATCH($B66,Lib_Cod,0)),"Código inválido"),IF($C66&lt;&gt;"",$C66,""))</f>
        <v/>
      </c>
      <c r="K66" s="15" t="str">
        <f aca="false">IF($B66&lt;&gt;"",IFERROR(INDEX(Lib_Area,MATCH($B66,Lib_Cod,0)),""),IF($C66&lt;&gt;"",$D66,""))</f>
        <v/>
      </c>
      <c r="L66" s="15" t="str">
        <f aca="false">IF($B66&lt;&gt;"",IFERROR(INDEX(Lib_Sinal,MATCH($B66,Lib_Cod,0)),""),IF($C66&lt;&gt;"",$E66,""))</f>
        <v/>
      </c>
      <c r="M66" s="15" t="str">
        <f aca="false">IF($B66&lt;&gt;"",IFERROR(INDEX(Lib_Deg,MATCH($B66,Lib_Cod,0)),""),IF($C66&lt;&gt;"",$F66,""))</f>
        <v/>
      </c>
      <c r="N66" s="15" t="str">
        <f aca="false">IF($B66&lt;&gt;"",IFERROR(INDEX(Lib_PA,MATCH($B66,Lib_Cod,0)),""),"")</f>
        <v/>
      </c>
      <c r="O66" s="15" t="str">
        <f aca="false">IF($B66&lt;&gt;"",IFERROR(INDEX(Lib_PIA,MATCH($B66,Lib_Cod,0)),""),"")</f>
        <v/>
      </c>
      <c r="P66" s="15" t="str">
        <f aca="false">IF($B66&lt;&gt;"","Biblioteca",IF($C66&lt;&gt;"","Própria",""))</f>
        <v/>
      </c>
      <c r="Q66" s="19" t="n">
        <f aca="false">IF(AND($J66&lt;&gt;"",$J66&lt;&gt;"Código inválido",$H66&lt;&gt;"Excluído"),1,0)</f>
        <v>0</v>
      </c>
      <c r="R66" s="18" t="str">
        <f aca="false">IF(AND($B66&lt;&gt;"",$C66&lt;&gt;""),"Use o código OU um nome próprio",IF(AND($B66&lt;&gt;"",COUNTIF($B$6:$B$105,$B66)&gt;1),"Código já cadastrado",IF(AND($C66&lt;&gt;"",OR($D66="",$F66="")),"Informe área e 1º degrau","")))</f>
        <v/>
      </c>
    </row>
    <row r="67" customFormat="false" ht="15" hidden="false" customHeight="false" outlineLevel="0" collapsed="false">
      <c r="A67" s="15" t="n">
        <v>62</v>
      </c>
      <c r="B67" s="16"/>
      <c r="C67" s="17"/>
      <c r="D67" s="16"/>
      <c r="E67" s="16"/>
      <c r="F67" s="16"/>
      <c r="G67" s="16"/>
      <c r="H67" s="16"/>
      <c r="I67" s="17"/>
      <c r="J67" s="18" t="str">
        <f aca="false">IF($B67&lt;&gt;"",IFERROR(INDEX(Lib_Proc,MATCH($B67,Lib_Cod,0)),"Código inválido"),IF($C67&lt;&gt;"",$C67,""))</f>
        <v/>
      </c>
      <c r="K67" s="15" t="str">
        <f aca="false">IF($B67&lt;&gt;"",IFERROR(INDEX(Lib_Area,MATCH($B67,Lib_Cod,0)),""),IF($C67&lt;&gt;"",$D67,""))</f>
        <v/>
      </c>
      <c r="L67" s="15" t="str">
        <f aca="false">IF($B67&lt;&gt;"",IFERROR(INDEX(Lib_Sinal,MATCH($B67,Lib_Cod,0)),""),IF($C67&lt;&gt;"",$E67,""))</f>
        <v/>
      </c>
      <c r="M67" s="15" t="str">
        <f aca="false">IF($B67&lt;&gt;"",IFERROR(INDEX(Lib_Deg,MATCH($B67,Lib_Cod,0)),""),IF($C67&lt;&gt;"",$F67,""))</f>
        <v/>
      </c>
      <c r="N67" s="15" t="str">
        <f aca="false">IF($B67&lt;&gt;"",IFERROR(INDEX(Lib_PA,MATCH($B67,Lib_Cod,0)),""),"")</f>
        <v/>
      </c>
      <c r="O67" s="15" t="str">
        <f aca="false">IF($B67&lt;&gt;"",IFERROR(INDEX(Lib_PIA,MATCH($B67,Lib_Cod,0)),""),"")</f>
        <v/>
      </c>
      <c r="P67" s="15" t="str">
        <f aca="false">IF($B67&lt;&gt;"","Biblioteca",IF($C67&lt;&gt;"","Própria",""))</f>
        <v/>
      </c>
      <c r="Q67" s="19" t="n">
        <f aca="false">IF(AND($J67&lt;&gt;"",$J67&lt;&gt;"Código inválido",$H67&lt;&gt;"Excluído"),1,0)</f>
        <v>0</v>
      </c>
      <c r="R67" s="18" t="str">
        <f aca="false">IF(AND($B67&lt;&gt;"",$C67&lt;&gt;""),"Use o código OU um nome próprio",IF(AND($B67&lt;&gt;"",COUNTIF($B$6:$B$105,$B67)&gt;1),"Código já cadastrado",IF(AND($C67&lt;&gt;"",OR($D67="",$F67="")),"Informe área e 1º degrau","")))</f>
        <v/>
      </c>
    </row>
    <row r="68" customFormat="false" ht="15" hidden="false" customHeight="false" outlineLevel="0" collapsed="false">
      <c r="A68" s="15" t="n">
        <v>63</v>
      </c>
      <c r="B68" s="16"/>
      <c r="C68" s="17"/>
      <c r="D68" s="16"/>
      <c r="E68" s="16"/>
      <c r="F68" s="16"/>
      <c r="G68" s="16"/>
      <c r="H68" s="16"/>
      <c r="I68" s="17"/>
      <c r="J68" s="18" t="str">
        <f aca="false">IF($B68&lt;&gt;"",IFERROR(INDEX(Lib_Proc,MATCH($B68,Lib_Cod,0)),"Código inválido"),IF($C68&lt;&gt;"",$C68,""))</f>
        <v/>
      </c>
      <c r="K68" s="15" t="str">
        <f aca="false">IF($B68&lt;&gt;"",IFERROR(INDEX(Lib_Area,MATCH($B68,Lib_Cod,0)),""),IF($C68&lt;&gt;"",$D68,""))</f>
        <v/>
      </c>
      <c r="L68" s="15" t="str">
        <f aca="false">IF($B68&lt;&gt;"",IFERROR(INDEX(Lib_Sinal,MATCH($B68,Lib_Cod,0)),""),IF($C68&lt;&gt;"",$E68,""))</f>
        <v/>
      </c>
      <c r="M68" s="15" t="str">
        <f aca="false">IF($B68&lt;&gt;"",IFERROR(INDEX(Lib_Deg,MATCH($B68,Lib_Cod,0)),""),IF($C68&lt;&gt;"",$F68,""))</f>
        <v/>
      </c>
      <c r="N68" s="15" t="str">
        <f aca="false">IF($B68&lt;&gt;"",IFERROR(INDEX(Lib_PA,MATCH($B68,Lib_Cod,0)),""),"")</f>
        <v/>
      </c>
      <c r="O68" s="15" t="str">
        <f aca="false">IF($B68&lt;&gt;"",IFERROR(INDEX(Lib_PIA,MATCH($B68,Lib_Cod,0)),""),"")</f>
        <v/>
      </c>
      <c r="P68" s="15" t="str">
        <f aca="false">IF($B68&lt;&gt;"","Biblioteca",IF($C68&lt;&gt;"","Própria",""))</f>
        <v/>
      </c>
      <c r="Q68" s="19" t="n">
        <f aca="false">IF(AND($J68&lt;&gt;"",$J68&lt;&gt;"Código inválido",$H68&lt;&gt;"Excluído"),1,0)</f>
        <v>0</v>
      </c>
      <c r="R68" s="18" t="str">
        <f aca="false">IF(AND($B68&lt;&gt;"",$C68&lt;&gt;""),"Use o código OU um nome próprio",IF(AND($B68&lt;&gt;"",COUNTIF($B$6:$B$105,$B68)&gt;1),"Código já cadastrado",IF(AND($C68&lt;&gt;"",OR($D68="",$F68="")),"Informe área e 1º degrau","")))</f>
        <v/>
      </c>
    </row>
    <row r="69" customFormat="false" ht="15" hidden="false" customHeight="false" outlineLevel="0" collapsed="false">
      <c r="A69" s="15" t="n">
        <v>64</v>
      </c>
      <c r="B69" s="16"/>
      <c r="C69" s="17"/>
      <c r="D69" s="16"/>
      <c r="E69" s="16"/>
      <c r="F69" s="16"/>
      <c r="G69" s="16"/>
      <c r="H69" s="16"/>
      <c r="I69" s="17"/>
      <c r="J69" s="18" t="str">
        <f aca="false">IF($B69&lt;&gt;"",IFERROR(INDEX(Lib_Proc,MATCH($B69,Lib_Cod,0)),"Código inválido"),IF($C69&lt;&gt;"",$C69,""))</f>
        <v/>
      </c>
      <c r="K69" s="15" t="str">
        <f aca="false">IF($B69&lt;&gt;"",IFERROR(INDEX(Lib_Area,MATCH($B69,Lib_Cod,0)),""),IF($C69&lt;&gt;"",$D69,""))</f>
        <v/>
      </c>
      <c r="L69" s="15" t="str">
        <f aca="false">IF($B69&lt;&gt;"",IFERROR(INDEX(Lib_Sinal,MATCH($B69,Lib_Cod,0)),""),IF($C69&lt;&gt;"",$E69,""))</f>
        <v/>
      </c>
      <c r="M69" s="15" t="str">
        <f aca="false">IF($B69&lt;&gt;"",IFERROR(INDEX(Lib_Deg,MATCH($B69,Lib_Cod,0)),""),IF($C69&lt;&gt;"",$F69,""))</f>
        <v/>
      </c>
      <c r="N69" s="15" t="str">
        <f aca="false">IF($B69&lt;&gt;"",IFERROR(INDEX(Lib_PA,MATCH($B69,Lib_Cod,0)),""),"")</f>
        <v/>
      </c>
      <c r="O69" s="15" t="str">
        <f aca="false">IF($B69&lt;&gt;"",IFERROR(INDEX(Lib_PIA,MATCH($B69,Lib_Cod,0)),""),"")</f>
        <v/>
      </c>
      <c r="P69" s="15" t="str">
        <f aca="false">IF($B69&lt;&gt;"","Biblioteca",IF($C69&lt;&gt;"","Própria",""))</f>
        <v/>
      </c>
      <c r="Q69" s="19" t="n">
        <f aca="false">IF(AND($J69&lt;&gt;"",$J69&lt;&gt;"Código inválido",$H69&lt;&gt;"Excluído"),1,0)</f>
        <v>0</v>
      </c>
      <c r="R69" s="18" t="str">
        <f aca="false">IF(AND($B69&lt;&gt;"",$C69&lt;&gt;""),"Use o código OU um nome próprio",IF(AND($B69&lt;&gt;"",COUNTIF($B$6:$B$105,$B69)&gt;1),"Código já cadastrado",IF(AND($C69&lt;&gt;"",OR($D69="",$F69="")),"Informe área e 1º degrau","")))</f>
        <v/>
      </c>
    </row>
    <row r="70" customFormat="false" ht="15" hidden="false" customHeight="false" outlineLevel="0" collapsed="false">
      <c r="A70" s="15" t="n">
        <v>65</v>
      </c>
      <c r="B70" s="16"/>
      <c r="C70" s="17"/>
      <c r="D70" s="16"/>
      <c r="E70" s="16"/>
      <c r="F70" s="16"/>
      <c r="G70" s="16"/>
      <c r="H70" s="16"/>
      <c r="I70" s="17"/>
      <c r="J70" s="18" t="str">
        <f aca="false">IF($B70&lt;&gt;"",IFERROR(INDEX(Lib_Proc,MATCH($B70,Lib_Cod,0)),"Código inválido"),IF($C70&lt;&gt;"",$C70,""))</f>
        <v/>
      </c>
      <c r="K70" s="15" t="str">
        <f aca="false">IF($B70&lt;&gt;"",IFERROR(INDEX(Lib_Area,MATCH($B70,Lib_Cod,0)),""),IF($C70&lt;&gt;"",$D70,""))</f>
        <v/>
      </c>
      <c r="L70" s="15" t="str">
        <f aca="false">IF($B70&lt;&gt;"",IFERROR(INDEX(Lib_Sinal,MATCH($B70,Lib_Cod,0)),""),IF($C70&lt;&gt;"",$E70,""))</f>
        <v/>
      </c>
      <c r="M70" s="15" t="str">
        <f aca="false">IF($B70&lt;&gt;"",IFERROR(INDEX(Lib_Deg,MATCH($B70,Lib_Cod,0)),""),IF($C70&lt;&gt;"",$F70,""))</f>
        <v/>
      </c>
      <c r="N70" s="15" t="str">
        <f aca="false">IF($B70&lt;&gt;"",IFERROR(INDEX(Lib_PA,MATCH($B70,Lib_Cod,0)),""),"")</f>
        <v/>
      </c>
      <c r="O70" s="15" t="str">
        <f aca="false">IF($B70&lt;&gt;"",IFERROR(INDEX(Lib_PIA,MATCH($B70,Lib_Cod,0)),""),"")</f>
        <v/>
      </c>
      <c r="P70" s="15" t="str">
        <f aca="false">IF($B70&lt;&gt;"","Biblioteca",IF($C70&lt;&gt;"","Própria",""))</f>
        <v/>
      </c>
      <c r="Q70" s="19" t="n">
        <f aca="false">IF(AND($J70&lt;&gt;"",$J70&lt;&gt;"Código inválido",$H70&lt;&gt;"Excluído"),1,0)</f>
        <v>0</v>
      </c>
      <c r="R70" s="18" t="str">
        <f aca="false">IF(AND($B70&lt;&gt;"",$C70&lt;&gt;""),"Use o código OU um nome próprio",IF(AND($B70&lt;&gt;"",COUNTIF($B$6:$B$105,$B70)&gt;1),"Código já cadastrado",IF(AND($C70&lt;&gt;"",OR($D70="",$F70="")),"Informe área e 1º degrau","")))</f>
        <v/>
      </c>
    </row>
    <row r="71" customFormat="false" ht="15" hidden="false" customHeight="false" outlineLevel="0" collapsed="false">
      <c r="A71" s="15" t="n">
        <v>66</v>
      </c>
      <c r="B71" s="16"/>
      <c r="C71" s="17"/>
      <c r="D71" s="16"/>
      <c r="E71" s="16"/>
      <c r="F71" s="16"/>
      <c r="G71" s="16"/>
      <c r="H71" s="16"/>
      <c r="I71" s="17"/>
      <c r="J71" s="18" t="str">
        <f aca="false">IF($B71&lt;&gt;"",IFERROR(INDEX(Lib_Proc,MATCH($B71,Lib_Cod,0)),"Código inválido"),IF($C71&lt;&gt;"",$C71,""))</f>
        <v/>
      </c>
      <c r="K71" s="15" t="str">
        <f aca="false">IF($B71&lt;&gt;"",IFERROR(INDEX(Lib_Area,MATCH($B71,Lib_Cod,0)),""),IF($C71&lt;&gt;"",$D71,""))</f>
        <v/>
      </c>
      <c r="L71" s="15" t="str">
        <f aca="false">IF($B71&lt;&gt;"",IFERROR(INDEX(Lib_Sinal,MATCH($B71,Lib_Cod,0)),""),IF($C71&lt;&gt;"",$E71,""))</f>
        <v/>
      </c>
      <c r="M71" s="15" t="str">
        <f aca="false">IF($B71&lt;&gt;"",IFERROR(INDEX(Lib_Deg,MATCH($B71,Lib_Cod,0)),""),IF($C71&lt;&gt;"",$F71,""))</f>
        <v/>
      </c>
      <c r="N71" s="15" t="str">
        <f aca="false">IF($B71&lt;&gt;"",IFERROR(INDEX(Lib_PA,MATCH($B71,Lib_Cod,0)),""),"")</f>
        <v/>
      </c>
      <c r="O71" s="15" t="str">
        <f aca="false">IF($B71&lt;&gt;"",IFERROR(INDEX(Lib_PIA,MATCH($B71,Lib_Cod,0)),""),"")</f>
        <v/>
      </c>
      <c r="P71" s="15" t="str">
        <f aca="false">IF($B71&lt;&gt;"","Biblioteca",IF($C71&lt;&gt;"","Própria",""))</f>
        <v/>
      </c>
      <c r="Q71" s="19" t="n">
        <f aca="false">IF(AND($J71&lt;&gt;"",$J71&lt;&gt;"Código inválido",$H71&lt;&gt;"Excluído"),1,0)</f>
        <v>0</v>
      </c>
      <c r="R71" s="18" t="str">
        <f aca="false">IF(AND($B71&lt;&gt;"",$C71&lt;&gt;""),"Use o código OU um nome próprio",IF(AND($B71&lt;&gt;"",COUNTIF($B$6:$B$105,$B71)&gt;1),"Código já cadastrado",IF(AND($C71&lt;&gt;"",OR($D71="",$F71="")),"Informe área e 1º degrau","")))</f>
        <v/>
      </c>
    </row>
    <row r="72" customFormat="false" ht="15" hidden="false" customHeight="false" outlineLevel="0" collapsed="false">
      <c r="A72" s="15" t="n">
        <v>67</v>
      </c>
      <c r="B72" s="16"/>
      <c r="C72" s="17"/>
      <c r="D72" s="16"/>
      <c r="E72" s="16"/>
      <c r="F72" s="16"/>
      <c r="G72" s="16"/>
      <c r="H72" s="16"/>
      <c r="I72" s="17"/>
      <c r="J72" s="18" t="str">
        <f aca="false">IF($B72&lt;&gt;"",IFERROR(INDEX(Lib_Proc,MATCH($B72,Lib_Cod,0)),"Código inválido"),IF($C72&lt;&gt;"",$C72,""))</f>
        <v/>
      </c>
      <c r="K72" s="15" t="str">
        <f aca="false">IF($B72&lt;&gt;"",IFERROR(INDEX(Lib_Area,MATCH($B72,Lib_Cod,0)),""),IF($C72&lt;&gt;"",$D72,""))</f>
        <v/>
      </c>
      <c r="L72" s="15" t="str">
        <f aca="false">IF($B72&lt;&gt;"",IFERROR(INDEX(Lib_Sinal,MATCH($B72,Lib_Cod,0)),""),IF($C72&lt;&gt;"",$E72,""))</f>
        <v/>
      </c>
      <c r="M72" s="15" t="str">
        <f aca="false">IF($B72&lt;&gt;"",IFERROR(INDEX(Lib_Deg,MATCH($B72,Lib_Cod,0)),""),IF($C72&lt;&gt;"",$F72,""))</f>
        <v/>
      </c>
      <c r="N72" s="15" t="str">
        <f aca="false">IF($B72&lt;&gt;"",IFERROR(INDEX(Lib_PA,MATCH($B72,Lib_Cod,0)),""),"")</f>
        <v/>
      </c>
      <c r="O72" s="15" t="str">
        <f aca="false">IF($B72&lt;&gt;"",IFERROR(INDEX(Lib_PIA,MATCH($B72,Lib_Cod,0)),""),"")</f>
        <v/>
      </c>
      <c r="P72" s="15" t="str">
        <f aca="false">IF($B72&lt;&gt;"","Biblioteca",IF($C72&lt;&gt;"","Própria",""))</f>
        <v/>
      </c>
      <c r="Q72" s="19" t="n">
        <f aca="false">IF(AND($J72&lt;&gt;"",$J72&lt;&gt;"Código inválido",$H72&lt;&gt;"Excluído"),1,0)</f>
        <v>0</v>
      </c>
      <c r="R72" s="18" t="str">
        <f aca="false">IF(AND($B72&lt;&gt;"",$C72&lt;&gt;""),"Use o código OU um nome próprio",IF(AND($B72&lt;&gt;"",COUNTIF($B$6:$B$105,$B72)&gt;1),"Código já cadastrado",IF(AND($C72&lt;&gt;"",OR($D72="",$F72="")),"Informe área e 1º degrau","")))</f>
        <v/>
      </c>
    </row>
    <row r="73" customFormat="false" ht="15" hidden="false" customHeight="false" outlineLevel="0" collapsed="false">
      <c r="A73" s="15" t="n">
        <v>68</v>
      </c>
      <c r="B73" s="16"/>
      <c r="C73" s="17"/>
      <c r="D73" s="16"/>
      <c r="E73" s="16"/>
      <c r="F73" s="16"/>
      <c r="G73" s="16"/>
      <c r="H73" s="16"/>
      <c r="I73" s="17"/>
      <c r="J73" s="18" t="str">
        <f aca="false">IF($B73&lt;&gt;"",IFERROR(INDEX(Lib_Proc,MATCH($B73,Lib_Cod,0)),"Código inválido"),IF($C73&lt;&gt;"",$C73,""))</f>
        <v/>
      </c>
      <c r="K73" s="15" t="str">
        <f aca="false">IF($B73&lt;&gt;"",IFERROR(INDEX(Lib_Area,MATCH($B73,Lib_Cod,0)),""),IF($C73&lt;&gt;"",$D73,""))</f>
        <v/>
      </c>
      <c r="L73" s="15" t="str">
        <f aca="false">IF($B73&lt;&gt;"",IFERROR(INDEX(Lib_Sinal,MATCH($B73,Lib_Cod,0)),""),IF($C73&lt;&gt;"",$E73,""))</f>
        <v/>
      </c>
      <c r="M73" s="15" t="str">
        <f aca="false">IF($B73&lt;&gt;"",IFERROR(INDEX(Lib_Deg,MATCH($B73,Lib_Cod,0)),""),IF($C73&lt;&gt;"",$F73,""))</f>
        <v/>
      </c>
      <c r="N73" s="15" t="str">
        <f aca="false">IF($B73&lt;&gt;"",IFERROR(INDEX(Lib_PA,MATCH($B73,Lib_Cod,0)),""),"")</f>
        <v/>
      </c>
      <c r="O73" s="15" t="str">
        <f aca="false">IF($B73&lt;&gt;"",IFERROR(INDEX(Lib_PIA,MATCH($B73,Lib_Cod,0)),""),"")</f>
        <v/>
      </c>
      <c r="P73" s="15" t="str">
        <f aca="false">IF($B73&lt;&gt;"","Biblioteca",IF($C73&lt;&gt;"","Própria",""))</f>
        <v/>
      </c>
      <c r="Q73" s="19" t="n">
        <f aca="false">IF(AND($J73&lt;&gt;"",$J73&lt;&gt;"Código inválido",$H73&lt;&gt;"Excluído"),1,0)</f>
        <v>0</v>
      </c>
      <c r="R73" s="18" t="str">
        <f aca="false">IF(AND($B73&lt;&gt;"",$C73&lt;&gt;""),"Use o código OU um nome próprio",IF(AND($B73&lt;&gt;"",COUNTIF($B$6:$B$105,$B73)&gt;1),"Código já cadastrado",IF(AND($C73&lt;&gt;"",OR($D73="",$F73="")),"Informe área e 1º degrau","")))</f>
        <v/>
      </c>
    </row>
    <row r="74" customFormat="false" ht="15" hidden="false" customHeight="false" outlineLevel="0" collapsed="false">
      <c r="A74" s="15" t="n">
        <v>69</v>
      </c>
      <c r="B74" s="16"/>
      <c r="C74" s="17"/>
      <c r="D74" s="16"/>
      <c r="E74" s="16"/>
      <c r="F74" s="16"/>
      <c r="G74" s="16"/>
      <c r="H74" s="16"/>
      <c r="I74" s="17"/>
      <c r="J74" s="18" t="str">
        <f aca="false">IF($B74&lt;&gt;"",IFERROR(INDEX(Lib_Proc,MATCH($B74,Lib_Cod,0)),"Código inválido"),IF($C74&lt;&gt;"",$C74,""))</f>
        <v/>
      </c>
      <c r="K74" s="15" t="str">
        <f aca="false">IF($B74&lt;&gt;"",IFERROR(INDEX(Lib_Area,MATCH($B74,Lib_Cod,0)),""),IF($C74&lt;&gt;"",$D74,""))</f>
        <v/>
      </c>
      <c r="L74" s="15" t="str">
        <f aca="false">IF($B74&lt;&gt;"",IFERROR(INDEX(Lib_Sinal,MATCH($B74,Lib_Cod,0)),""),IF($C74&lt;&gt;"",$E74,""))</f>
        <v/>
      </c>
      <c r="M74" s="15" t="str">
        <f aca="false">IF($B74&lt;&gt;"",IFERROR(INDEX(Lib_Deg,MATCH($B74,Lib_Cod,0)),""),IF($C74&lt;&gt;"",$F74,""))</f>
        <v/>
      </c>
      <c r="N74" s="15" t="str">
        <f aca="false">IF($B74&lt;&gt;"",IFERROR(INDEX(Lib_PA,MATCH($B74,Lib_Cod,0)),""),"")</f>
        <v/>
      </c>
      <c r="O74" s="15" t="str">
        <f aca="false">IF($B74&lt;&gt;"",IFERROR(INDEX(Lib_PIA,MATCH($B74,Lib_Cod,0)),""),"")</f>
        <v/>
      </c>
      <c r="P74" s="15" t="str">
        <f aca="false">IF($B74&lt;&gt;"","Biblioteca",IF($C74&lt;&gt;"","Própria",""))</f>
        <v/>
      </c>
      <c r="Q74" s="19" t="n">
        <f aca="false">IF(AND($J74&lt;&gt;"",$J74&lt;&gt;"Código inválido",$H74&lt;&gt;"Excluído"),1,0)</f>
        <v>0</v>
      </c>
      <c r="R74" s="18" t="str">
        <f aca="false">IF(AND($B74&lt;&gt;"",$C74&lt;&gt;""),"Use o código OU um nome próprio",IF(AND($B74&lt;&gt;"",COUNTIF($B$6:$B$105,$B74)&gt;1),"Código já cadastrado",IF(AND($C74&lt;&gt;"",OR($D74="",$F74="")),"Informe área e 1º degrau","")))</f>
        <v/>
      </c>
    </row>
    <row r="75" customFormat="false" ht="15" hidden="false" customHeight="false" outlineLevel="0" collapsed="false">
      <c r="A75" s="15" t="n">
        <v>70</v>
      </c>
      <c r="B75" s="16"/>
      <c r="C75" s="17"/>
      <c r="D75" s="16"/>
      <c r="E75" s="16"/>
      <c r="F75" s="16"/>
      <c r="G75" s="16"/>
      <c r="H75" s="16"/>
      <c r="I75" s="17"/>
      <c r="J75" s="18" t="str">
        <f aca="false">IF($B75&lt;&gt;"",IFERROR(INDEX(Lib_Proc,MATCH($B75,Lib_Cod,0)),"Código inválido"),IF($C75&lt;&gt;"",$C75,""))</f>
        <v/>
      </c>
      <c r="K75" s="15" t="str">
        <f aca="false">IF($B75&lt;&gt;"",IFERROR(INDEX(Lib_Area,MATCH($B75,Lib_Cod,0)),""),IF($C75&lt;&gt;"",$D75,""))</f>
        <v/>
      </c>
      <c r="L75" s="15" t="str">
        <f aca="false">IF($B75&lt;&gt;"",IFERROR(INDEX(Lib_Sinal,MATCH($B75,Lib_Cod,0)),""),IF($C75&lt;&gt;"",$E75,""))</f>
        <v/>
      </c>
      <c r="M75" s="15" t="str">
        <f aca="false">IF($B75&lt;&gt;"",IFERROR(INDEX(Lib_Deg,MATCH($B75,Lib_Cod,0)),""),IF($C75&lt;&gt;"",$F75,""))</f>
        <v/>
      </c>
      <c r="N75" s="15" t="str">
        <f aca="false">IF($B75&lt;&gt;"",IFERROR(INDEX(Lib_PA,MATCH($B75,Lib_Cod,0)),""),"")</f>
        <v/>
      </c>
      <c r="O75" s="15" t="str">
        <f aca="false">IF($B75&lt;&gt;"",IFERROR(INDEX(Lib_PIA,MATCH($B75,Lib_Cod,0)),""),"")</f>
        <v/>
      </c>
      <c r="P75" s="15" t="str">
        <f aca="false">IF($B75&lt;&gt;"","Biblioteca",IF($C75&lt;&gt;"","Própria",""))</f>
        <v/>
      </c>
      <c r="Q75" s="19" t="n">
        <f aca="false">IF(AND($J75&lt;&gt;"",$J75&lt;&gt;"Código inválido",$H75&lt;&gt;"Excluído"),1,0)</f>
        <v>0</v>
      </c>
      <c r="R75" s="18" t="str">
        <f aca="false">IF(AND($B75&lt;&gt;"",$C75&lt;&gt;""),"Use o código OU um nome próprio",IF(AND($B75&lt;&gt;"",COUNTIF($B$6:$B$105,$B75)&gt;1),"Código já cadastrado",IF(AND($C75&lt;&gt;"",OR($D75="",$F75="")),"Informe área e 1º degrau","")))</f>
        <v/>
      </c>
    </row>
    <row r="76" customFormat="false" ht="15" hidden="false" customHeight="false" outlineLevel="0" collapsed="false">
      <c r="A76" s="15" t="n">
        <v>71</v>
      </c>
      <c r="B76" s="16"/>
      <c r="C76" s="17"/>
      <c r="D76" s="16"/>
      <c r="E76" s="16"/>
      <c r="F76" s="16"/>
      <c r="G76" s="16"/>
      <c r="H76" s="16"/>
      <c r="I76" s="17"/>
      <c r="J76" s="18" t="str">
        <f aca="false">IF($B76&lt;&gt;"",IFERROR(INDEX(Lib_Proc,MATCH($B76,Lib_Cod,0)),"Código inválido"),IF($C76&lt;&gt;"",$C76,""))</f>
        <v/>
      </c>
      <c r="K76" s="15" t="str">
        <f aca="false">IF($B76&lt;&gt;"",IFERROR(INDEX(Lib_Area,MATCH($B76,Lib_Cod,0)),""),IF($C76&lt;&gt;"",$D76,""))</f>
        <v/>
      </c>
      <c r="L76" s="15" t="str">
        <f aca="false">IF($B76&lt;&gt;"",IFERROR(INDEX(Lib_Sinal,MATCH($B76,Lib_Cod,0)),""),IF($C76&lt;&gt;"",$E76,""))</f>
        <v/>
      </c>
      <c r="M76" s="15" t="str">
        <f aca="false">IF($B76&lt;&gt;"",IFERROR(INDEX(Lib_Deg,MATCH($B76,Lib_Cod,0)),""),IF($C76&lt;&gt;"",$F76,""))</f>
        <v/>
      </c>
      <c r="N76" s="15" t="str">
        <f aca="false">IF($B76&lt;&gt;"",IFERROR(INDEX(Lib_PA,MATCH($B76,Lib_Cod,0)),""),"")</f>
        <v/>
      </c>
      <c r="O76" s="15" t="str">
        <f aca="false">IF($B76&lt;&gt;"",IFERROR(INDEX(Lib_PIA,MATCH($B76,Lib_Cod,0)),""),"")</f>
        <v/>
      </c>
      <c r="P76" s="15" t="str">
        <f aca="false">IF($B76&lt;&gt;"","Biblioteca",IF($C76&lt;&gt;"","Própria",""))</f>
        <v/>
      </c>
      <c r="Q76" s="19" t="n">
        <f aca="false">IF(AND($J76&lt;&gt;"",$J76&lt;&gt;"Código inválido",$H76&lt;&gt;"Excluído"),1,0)</f>
        <v>0</v>
      </c>
      <c r="R76" s="18" t="str">
        <f aca="false">IF(AND($B76&lt;&gt;"",$C76&lt;&gt;""),"Use o código OU um nome próprio",IF(AND($B76&lt;&gt;"",COUNTIF($B$6:$B$105,$B76)&gt;1),"Código já cadastrado",IF(AND($C76&lt;&gt;"",OR($D76="",$F76="")),"Informe área e 1º degrau","")))</f>
        <v/>
      </c>
    </row>
    <row r="77" customFormat="false" ht="15" hidden="false" customHeight="false" outlineLevel="0" collapsed="false">
      <c r="A77" s="15" t="n">
        <v>72</v>
      </c>
      <c r="B77" s="16"/>
      <c r="C77" s="17"/>
      <c r="D77" s="16"/>
      <c r="E77" s="16"/>
      <c r="F77" s="16"/>
      <c r="G77" s="16"/>
      <c r="H77" s="16"/>
      <c r="I77" s="17"/>
      <c r="J77" s="18" t="str">
        <f aca="false">IF($B77&lt;&gt;"",IFERROR(INDEX(Lib_Proc,MATCH($B77,Lib_Cod,0)),"Código inválido"),IF($C77&lt;&gt;"",$C77,""))</f>
        <v/>
      </c>
      <c r="K77" s="15" t="str">
        <f aca="false">IF($B77&lt;&gt;"",IFERROR(INDEX(Lib_Area,MATCH($B77,Lib_Cod,0)),""),IF($C77&lt;&gt;"",$D77,""))</f>
        <v/>
      </c>
      <c r="L77" s="15" t="str">
        <f aca="false">IF($B77&lt;&gt;"",IFERROR(INDEX(Lib_Sinal,MATCH($B77,Lib_Cod,0)),""),IF($C77&lt;&gt;"",$E77,""))</f>
        <v/>
      </c>
      <c r="M77" s="15" t="str">
        <f aca="false">IF($B77&lt;&gt;"",IFERROR(INDEX(Lib_Deg,MATCH($B77,Lib_Cod,0)),""),IF($C77&lt;&gt;"",$F77,""))</f>
        <v/>
      </c>
      <c r="N77" s="15" t="str">
        <f aca="false">IF($B77&lt;&gt;"",IFERROR(INDEX(Lib_PA,MATCH($B77,Lib_Cod,0)),""),"")</f>
        <v/>
      </c>
      <c r="O77" s="15" t="str">
        <f aca="false">IF($B77&lt;&gt;"",IFERROR(INDEX(Lib_PIA,MATCH($B77,Lib_Cod,0)),""),"")</f>
        <v/>
      </c>
      <c r="P77" s="15" t="str">
        <f aca="false">IF($B77&lt;&gt;"","Biblioteca",IF($C77&lt;&gt;"","Própria",""))</f>
        <v/>
      </c>
      <c r="Q77" s="19" t="n">
        <f aca="false">IF(AND($J77&lt;&gt;"",$J77&lt;&gt;"Código inválido",$H77&lt;&gt;"Excluído"),1,0)</f>
        <v>0</v>
      </c>
      <c r="R77" s="18" t="str">
        <f aca="false">IF(AND($B77&lt;&gt;"",$C77&lt;&gt;""),"Use o código OU um nome próprio",IF(AND($B77&lt;&gt;"",COUNTIF($B$6:$B$105,$B77)&gt;1),"Código já cadastrado",IF(AND($C77&lt;&gt;"",OR($D77="",$F77="")),"Informe área e 1º degrau","")))</f>
        <v/>
      </c>
    </row>
    <row r="78" customFormat="false" ht="15" hidden="false" customHeight="false" outlineLevel="0" collapsed="false">
      <c r="A78" s="15" t="n">
        <v>73</v>
      </c>
      <c r="B78" s="16"/>
      <c r="C78" s="17"/>
      <c r="D78" s="16"/>
      <c r="E78" s="16"/>
      <c r="F78" s="16"/>
      <c r="G78" s="16"/>
      <c r="H78" s="16"/>
      <c r="I78" s="17"/>
      <c r="J78" s="18" t="str">
        <f aca="false">IF($B78&lt;&gt;"",IFERROR(INDEX(Lib_Proc,MATCH($B78,Lib_Cod,0)),"Código inválido"),IF($C78&lt;&gt;"",$C78,""))</f>
        <v/>
      </c>
      <c r="K78" s="15" t="str">
        <f aca="false">IF($B78&lt;&gt;"",IFERROR(INDEX(Lib_Area,MATCH($B78,Lib_Cod,0)),""),IF($C78&lt;&gt;"",$D78,""))</f>
        <v/>
      </c>
      <c r="L78" s="15" t="str">
        <f aca="false">IF($B78&lt;&gt;"",IFERROR(INDEX(Lib_Sinal,MATCH($B78,Lib_Cod,0)),""),IF($C78&lt;&gt;"",$E78,""))</f>
        <v/>
      </c>
      <c r="M78" s="15" t="str">
        <f aca="false">IF($B78&lt;&gt;"",IFERROR(INDEX(Lib_Deg,MATCH($B78,Lib_Cod,0)),""),IF($C78&lt;&gt;"",$F78,""))</f>
        <v/>
      </c>
      <c r="N78" s="15" t="str">
        <f aca="false">IF($B78&lt;&gt;"",IFERROR(INDEX(Lib_PA,MATCH($B78,Lib_Cod,0)),""),"")</f>
        <v/>
      </c>
      <c r="O78" s="15" t="str">
        <f aca="false">IF($B78&lt;&gt;"",IFERROR(INDEX(Lib_PIA,MATCH($B78,Lib_Cod,0)),""),"")</f>
        <v/>
      </c>
      <c r="P78" s="15" t="str">
        <f aca="false">IF($B78&lt;&gt;"","Biblioteca",IF($C78&lt;&gt;"","Própria",""))</f>
        <v/>
      </c>
      <c r="Q78" s="19" t="n">
        <f aca="false">IF(AND($J78&lt;&gt;"",$J78&lt;&gt;"Código inválido",$H78&lt;&gt;"Excluído"),1,0)</f>
        <v>0</v>
      </c>
      <c r="R78" s="18" t="str">
        <f aca="false">IF(AND($B78&lt;&gt;"",$C78&lt;&gt;""),"Use o código OU um nome próprio",IF(AND($B78&lt;&gt;"",COUNTIF($B$6:$B$105,$B78)&gt;1),"Código já cadastrado",IF(AND($C78&lt;&gt;"",OR($D78="",$F78="")),"Informe área e 1º degrau","")))</f>
        <v/>
      </c>
    </row>
    <row r="79" customFormat="false" ht="15" hidden="false" customHeight="false" outlineLevel="0" collapsed="false">
      <c r="A79" s="15" t="n">
        <v>74</v>
      </c>
      <c r="B79" s="16"/>
      <c r="C79" s="17"/>
      <c r="D79" s="16"/>
      <c r="E79" s="16"/>
      <c r="F79" s="16"/>
      <c r="G79" s="16"/>
      <c r="H79" s="16"/>
      <c r="I79" s="17"/>
      <c r="J79" s="18" t="str">
        <f aca="false">IF($B79&lt;&gt;"",IFERROR(INDEX(Lib_Proc,MATCH($B79,Lib_Cod,0)),"Código inválido"),IF($C79&lt;&gt;"",$C79,""))</f>
        <v/>
      </c>
      <c r="K79" s="15" t="str">
        <f aca="false">IF($B79&lt;&gt;"",IFERROR(INDEX(Lib_Area,MATCH($B79,Lib_Cod,0)),""),IF($C79&lt;&gt;"",$D79,""))</f>
        <v/>
      </c>
      <c r="L79" s="15" t="str">
        <f aca="false">IF($B79&lt;&gt;"",IFERROR(INDEX(Lib_Sinal,MATCH($B79,Lib_Cod,0)),""),IF($C79&lt;&gt;"",$E79,""))</f>
        <v/>
      </c>
      <c r="M79" s="15" t="str">
        <f aca="false">IF($B79&lt;&gt;"",IFERROR(INDEX(Lib_Deg,MATCH($B79,Lib_Cod,0)),""),IF($C79&lt;&gt;"",$F79,""))</f>
        <v/>
      </c>
      <c r="N79" s="15" t="str">
        <f aca="false">IF($B79&lt;&gt;"",IFERROR(INDEX(Lib_PA,MATCH($B79,Lib_Cod,0)),""),"")</f>
        <v/>
      </c>
      <c r="O79" s="15" t="str">
        <f aca="false">IF($B79&lt;&gt;"",IFERROR(INDEX(Lib_PIA,MATCH($B79,Lib_Cod,0)),""),"")</f>
        <v/>
      </c>
      <c r="P79" s="15" t="str">
        <f aca="false">IF($B79&lt;&gt;"","Biblioteca",IF($C79&lt;&gt;"","Própria",""))</f>
        <v/>
      </c>
      <c r="Q79" s="19" t="n">
        <f aca="false">IF(AND($J79&lt;&gt;"",$J79&lt;&gt;"Código inválido",$H79&lt;&gt;"Excluído"),1,0)</f>
        <v>0</v>
      </c>
      <c r="R79" s="18" t="str">
        <f aca="false">IF(AND($B79&lt;&gt;"",$C79&lt;&gt;""),"Use o código OU um nome próprio",IF(AND($B79&lt;&gt;"",COUNTIF($B$6:$B$105,$B79)&gt;1),"Código já cadastrado",IF(AND($C79&lt;&gt;"",OR($D79="",$F79="")),"Informe área e 1º degrau","")))</f>
        <v/>
      </c>
    </row>
    <row r="80" customFormat="false" ht="15" hidden="false" customHeight="false" outlineLevel="0" collapsed="false">
      <c r="A80" s="15" t="n">
        <v>75</v>
      </c>
      <c r="B80" s="16"/>
      <c r="C80" s="17"/>
      <c r="D80" s="16"/>
      <c r="E80" s="16"/>
      <c r="F80" s="16"/>
      <c r="G80" s="16"/>
      <c r="H80" s="16"/>
      <c r="I80" s="17"/>
      <c r="J80" s="18" t="str">
        <f aca="false">IF($B80&lt;&gt;"",IFERROR(INDEX(Lib_Proc,MATCH($B80,Lib_Cod,0)),"Código inválido"),IF($C80&lt;&gt;"",$C80,""))</f>
        <v/>
      </c>
      <c r="K80" s="15" t="str">
        <f aca="false">IF($B80&lt;&gt;"",IFERROR(INDEX(Lib_Area,MATCH($B80,Lib_Cod,0)),""),IF($C80&lt;&gt;"",$D80,""))</f>
        <v/>
      </c>
      <c r="L80" s="15" t="str">
        <f aca="false">IF($B80&lt;&gt;"",IFERROR(INDEX(Lib_Sinal,MATCH($B80,Lib_Cod,0)),""),IF($C80&lt;&gt;"",$E80,""))</f>
        <v/>
      </c>
      <c r="M80" s="15" t="str">
        <f aca="false">IF($B80&lt;&gt;"",IFERROR(INDEX(Lib_Deg,MATCH($B80,Lib_Cod,0)),""),IF($C80&lt;&gt;"",$F80,""))</f>
        <v/>
      </c>
      <c r="N80" s="15" t="str">
        <f aca="false">IF($B80&lt;&gt;"",IFERROR(INDEX(Lib_PA,MATCH($B80,Lib_Cod,0)),""),"")</f>
        <v/>
      </c>
      <c r="O80" s="15" t="str">
        <f aca="false">IF($B80&lt;&gt;"",IFERROR(INDEX(Lib_PIA,MATCH($B80,Lib_Cod,0)),""),"")</f>
        <v/>
      </c>
      <c r="P80" s="15" t="str">
        <f aca="false">IF($B80&lt;&gt;"","Biblioteca",IF($C80&lt;&gt;"","Própria",""))</f>
        <v/>
      </c>
      <c r="Q80" s="19" t="n">
        <f aca="false">IF(AND($J80&lt;&gt;"",$J80&lt;&gt;"Código inválido",$H80&lt;&gt;"Excluído"),1,0)</f>
        <v>0</v>
      </c>
      <c r="R80" s="18" t="str">
        <f aca="false">IF(AND($B80&lt;&gt;"",$C80&lt;&gt;""),"Use o código OU um nome próprio",IF(AND($B80&lt;&gt;"",COUNTIF($B$6:$B$105,$B80)&gt;1),"Código já cadastrado",IF(AND($C80&lt;&gt;"",OR($D80="",$F80="")),"Informe área e 1º degrau","")))</f>
        <v/>
      </c>
    </row>
    <row r="81" customFormat="false" ht="15" hidden="false" customHeight="false" outlineLevel="0" collapsed="false">
      <c r="A81" s="15" t="n">
        <v>76</v>
      </c>
      <c r="B81" s="16"/>
      <c r="C81" s="17"/>
      <c r="D81" s="16"/>
      <c r="E81" s="16"/>
      <c r="F81" s="16"/>
      <c r="G81" s="16"/>
      <c r="H81" s="16"/>
      <c r="I81" s="17"/>
      <c r="J81" s="18" t="str">
        <f aca="false">IF($B81&lt;&gt;"",IFERROR(INDEX(Lib_Proc,MATCH($B81,Lib_Cod,0)),"Código inválido"),IF($C81&lt;&gt;"",$C81,""))</f>
        <v/>
      </c>
      <c r="K81" s="15" t="str">
        <f aca="false">IF($B81&lt;&gt;"",IFERROR(INDEX(Lib_Area,MATCH($B81,Lib_Cod,0)),""),IF($C81&lt;&gt;"",$D81,""))</f>
        <v/>
      </c>
      <c r="L81" s="15" t="str">
        <f aca="false">IF($B81&lt;&gt;"",IFERROR(INDEX(Lib_Sinal,MATCH($B81,Lib_Cod,0)),""),IF($C81&lt;&gt;"",$E81,""))</f>
        <v/>
      </c>
      <c r="M81" s="15" t="str">
        <f aca="false">IF($B81&lt;&gt;"",IFERROR(INDEX(Lib_Deg,MATCH($B81,Lib_Cod,0)),""),IF($C81&lt;&gt;"",$F81,""))</f>
        <v/>
      </c>
      <c r="N81" s="15" t="str">
        <f aca="false">IF($B81&lt;&gt;"",IFERROR(INDEX(Lib_PA,MATCH($B81,Lib_Cod,0)),""),"")</f>
        <v/>
      </c>
      <c r="O81" s="15" t="str">
        <f aca="false">IF($B81&lt;&gt;"",IFERROR(INDEX(Lib_PIA,MATCH($B81,Lib_Cod,0)),""),"")</f>
        <v/>
      </c>
      <c r="P81" s="15" t="str">
        <f aca="false">IF($B81&lt;&gt;"","Biblioteca",IF($C81&lt;&gt;"","Própria",""))</f>
        <v/>
      </c>
      <c r="Q81" s="19" t="n">
        <f aca="false">IF(AND($J81&lt;&gt;"",$J81&lt;&gt;"Código inválido",$H81&lt;&gt;"Excluído"),1,0)</f>
        <v>0</v>
      </c>
      <c r="R81" s="18" t="str">
        <f aca="false">IF(AND($B81&lt;&gt;"",$C81&lt;&gt;""),"Use o código OU um nome próprio",IF(AND($B81&lt;&gt;"",COUNTIF($B$6:$B$105,$B81)&gt;1),"Código já cadastrado",IF(AND($C81&lt;&gt;"",OR($D81="",$F81="")),"Informe área e 1º degrau","")))</f>
        <v/>
      </c>
    </row>
    <row r="82" customFormat="false" ht="15" hidden="false" customHeight="false" outlineLevel="0" collapsed="false">
      <c r="A82" s="15" t="n">
        <v>77</v>
      </c>
      <c r="B82" s="16"/>
      <c r="C82" s="17"/>
      <c r="D82" s="16"/>
      <c r="E82" s="16"/>
      <c r="F82" s="16"/>
      <c r="G82" s="16"/>
      <c r="H82" s="16"/>
      <c r="I82" s="17"/>
      <c r="J82" s="18" t="str">
        <f aca="false">IF($B82&lt;&gt;"",IFERROR(INDEX(Lib_Proc,MATCH($B82,Lib_Cod,0)),"Código inválido"),IF($C82&lt;&gt;"",$C82,""))</f>
        <v/>
      </c>
      <c r="K82" s="15" t="str">
        <f aca="false">IF($B82&lt;&gt;"",IFERROR(INDEX(Lib_Area,MATCH($B82,Lib_Cod,0)),""),IF($C82&lt;&gt;"",$D82,""))</f>
        <v/>
      </c>
      <c r="L82" s="15" t="str">
        <f aca="false">IF($B82&lt;&gt;"",IFERROR(INDEX(Lib_Sinal,MATCH($B82,Lib_Cod,0)),""),IF($C82&lt;&gt;"",$E82,""))</f>
        <v/>
      </c>
      <c r="M82" s="15" t="str">
        <f aca="false">IF($B82&lt;&gt;"",IFERROR(INDEX(Lib_Deg,MATCH($B82,Lib_Cod,0)),""),IF($C82&lt;&gt;"",$F82,""))</f>
        <v/>
      </c>
      <c r="N82" s="15" t="str">
        <f aca="false">IF($B82&lt;&gt;"",IFERROR(INDEX(Lib_PA,MATCH($B82,Lib_Cod,0)),""),"")</f>
        <v/>
      </c>
      <c r="O82" s="15" t="str">
        <f aca="false">IF($B82&lt;&gt;"",IFERROR(INDEX(Lib_PIA,MATCH($B82,Lib_Cod,0)),""),"")</f>
        <v/>
      </c>
      <c r="P82" s="15" t="str">
        <f aca="false">IF($B82&lt;&gt;"","Biblioteca",IF($C82&lt;&gt;"","Própria",""))</f>
        <v/>
      </c>
      <c r="Q82" s="19" t="n">
        <f aca="false">IF(AND($J82&lt;&gt;"",$J82&lt;&gt;"Código inválido",$H82&lt;&gt;"Excluído"),1,0)</f>
        <v>0</v>
      </c>
      <c r="R82" s="18" t="str">
        <f aca="false">IF(AND($B82&lt;&gt;"",$C82&lt;&gt;""),"Use o código OU um nome próprio",IF(AND($B82&lt;&gt;"",COUNTIF($B$6:$B$105,$B82)&gt;1),"Código já cadastrado",IF(AND($C82&lt;&gt;"",OR($D82="",$F82="")),"Informe área e 1º degrau","")))</f>
        <v/>
      </c>
    </row>
    <row r="83" customFormat="false" ht="15" hidden="false" customHeight="false" outlineLevel="0" collapsed="false">
      <c r="A83" s="15" t="n">
        <v>78</v>
      </c>
      <c r="B83" s="16"/>
      <c r="C83" s="17"/>
      <c r="D83" s="16"/>
      <c r="E83" s="16"/>
      <c r="F83" s="16"/>
      <c r="G83" s="16"/>
      <c r="H83" s="16"/>
      <c r="I83" s="17"/>
      <c r="J83" s="18" t="str">
        <f aca="false">IF($B83&lt;&gt;"",IFERROR(INDEX(Lib_Proc,MATCH($B83,Lib_Cod,0)),"Código inválido"),IF($C83&lt;&gt;"",$C83,""))</f>
        <v/>
      </c>
      <c r="K83" s="15" t="str">
        <f aca="false">IF($B83&lt;&gt;"",IFERROR(INDEX(Lib_Area,MATCH($B83,Lib_Cod,0)),""),IF($C83&lt;&gt;"",$D83,""))</f>
        <v/>
      </c>
      <c r="L83" s="15" t="str">
        <f aca="false">IF($B83&lt;&gt;"",IFERROR(INDEX(Lib_Sinal,MATCH($B83,Lib_Cod,0)),""),IF($C83&lt;&gt;"",$E83,""))</f>
        <v/>
      </c>
      <c r="M83" s="15" t="str">
        <f aca="false">IF($B83&lt;&gt;"",IFERROR(INDEX(Lib_Deg,MATCH($B83,Lib_Cod,0)),""),IF($C83&lt;&gt;"",$F83,""))</f>
        <v/>
      </c>
      <c r="N83" s="15" t="str">
        <f aca="false">IF($B83&lt;&gt;"",IFERROR(INDEX(Lib_PA,MATCH($B83,Lib_Cod,0)),""),"")</f>
        <v/>
      </c>
      <c r="O83" s="15" t="str">
        <f aca="false">IF($B83&lt;&gt;"",IFERROR(INDEX(Lib_PIA,MATCH($B83,Lib_Cod,0)),""),"")</f>
        <v/>
      </c>
      <c r="P83" s="15" t="str">
        <f aca="false">IF($B83&lt;&gt;"","Biblioteca",IF($C83&lt;&gt;"","Própria",""))</f>
        <v/>
      </c>
      <c r="Q83" s="19" t="n">
        <f aca="false">IF(AND($J83&lt;&gt;"",$J83&lt;&gt;"Código inválido",$H83&lt;&gt;"Excluído"),1,0)</f>
        <v>0</v>
      </c>
      <c r="R83" s="18" t="str">
        <f aca="false">IF(AND($B83&lt;&gt;"",$C83&lt;&gt;""),"Use o código OU um nome próprio",IF(AND($B83&lt;&gt;"",COUNTIF($B$6:$B$105,$B83)&gt;1),"Código já cadastrado",IF(AND($C83&lt;&gt;"",OR($D83="",$F83="")),"Informe área e 1º degrau","")))</f>
        <v/>
      </c>
    </row>
    <row r="84" customFormat="false" ht="15" hidden="false" customHeight="false" outlineLevel="0" collapsed="false">
      <c r="A84" s="15" t="n">
        <v>79</v>
      </c>
      <c r="B84" s="16"/>
      <c r="C84" s="17"/>
      <c r="D84" s="16"/>
      <c r="E84" s="16"/>
      <c r="F84" s="16"/>
      <c r="G84" s="16"/>
      <c r="H84" s="16"/>
      <c r="I84" s="17"/>
      <c r="J84" s="18" t="str">
        <f aca="false">IF($B84&lt;&gt;"",IFERROR(INDEX(Lib_Proc,MATCH($B84,Lib_Cod,0)),"Código inválido"),IF($C84&lt;&gt;"",$C84,""))</f>
        <v/>
      </c>
      <c r="K84" s="15" t="str">
        <f aca="false">IF($B84&lt;&gt;"",IFERROR(INDEX(Lib_Area,MATCH($B84,Lib_Cod,0)),""),IF($C84&lt;&gt;"",$D84,""))</f>
        <v/>
      </c>
      <c r="L84" s="15" t="str">
        <f aca="false">IF($B84&lt;&gt;"",IFERROR(INDEX(Lib_Sinal,MATCH($B84,Lib_Cod,0)),""),IF($C84&lt;&gt;"",$E84,""))</f>
        <v/>
      </c>
      <c r="M84" s="15" t="str">
        <f aca="false">IF($B84&lt;&gt;"",IFERROR(INDEX(Lib_Deg,MATCH($B84,Lib_Cod,0)),""),IF($C84&lt;&gt;"",$F84,""))</f>
        <v/>
      </c>
      <c r="N84" s="15" t="str">
        <f aca="false">IF($B84&lt;&gt;"",IFERROR(INDEX(Lib_PA,MATCH($B84,Lib_Cod,0)),""),"")</f>
        <v/>
      </c>
      <c r="O84" s="15" t="str">
        <f aca="false">IF($B84&lt;&gt;"",IFERROR(INDEX(Lib_PIA,MATCH($B84,Lib_Cod,0)),""),"")</f>
        <v/>
      </c>
      <c r="P84" s="15" t="str">
        <f aca="false">IF($B84&lt;&gt;"","Biblioteca",IF($C84&lt;&gt;"","Própria",""))</f>
        <v/>
      </c>
      <c r="Q84" s="19" t="n">
        <f aca="false">IF(AND($J84&lt;&gt;"",$J84&lt;&gt;"Código inválido",$H84&lt;&gt;"Excluído"),1,0)</f>
        <v>0</v>
      </c>
      <c r="R84" s="18" t="str">
        <f aca="false">IF(AND($B84&lt;&gt;"",$C84&lt;&gt;""),"Use o código OU um nome próprio",IF(AND($B84&lt;&gt;"",COUNTIF($B$6:$B$105,$B84)&gt;1),"Código já cadastrado",IF(AND($C84&lt;&gt;"",OR($D84="",$F84="")),"Informe área e 1º degrau","")))</f>
        <v/>
      </c>
    </row>
    <row r="85" customFormat="false" ht="15" hidden="false" customHeight="false" outlineLevel="0" collapsed="false">
      <c r="A85" s="15" t="n">
        <v>80</v>
      </c>
      <c r="B85" s="16"/>
      <c r="C85" s="17"/>
      <c r="D85" s="16"/>
      <c r="E85" s="16"/>
      <c r="F85" s="16"/>
      <c r="G85" s="16"/>
      <c r="H85" s="16"/>
      <c r="I85" s="17"/>
      <c r="J85" s="18" t="str">
        <f aca="false">IF($B85&lt;&gt;"",IFERROR(INDEX(Lib_Proc,MATCH($B85,Lib_Cod,0)),"Código inválido"),IF($C85&lt;&gt;"",$C85,""))</f>
        <v/>
      </c>
      <c r="K85" s="15" t="str">
        <f aca="false">IF($B85&lt;&gt;"",IFERROR(INDEX(Lib_Area,MATCH($B85,Lib_Cod,0)),""),IF($C85&lt;&gt;"",$D85,""))</f>
        <v/>
      </c>
      <c r="L85" s="15" t="str">
        <f aca="false">IF($B85&lt;&gt;"",IFERROR(INDEX(Lib_Sinal,MATCH($B85,Lib_Cod,0)),""),IF($C85&lt;&gt;"",$E85,""))</f>
        <v/>
      </c>
      <c r="M85" s="15" t="str">
        <f aca="false">IF($B85&lt;&gt;"",IFERROR(INDEX(Lib_Deg,MATCH($B85,Lib_Cod,0)),""),IF($C85&lt;&gt;"",$F85,""))</f>
        <v/>
      </c>
      <c r="N85" s="15" t="str">
        <f aca="false">IF($B85&lt;&gt;"",IFERROR(INDEX(Lib_PA,MATCH($B85,Lib_Cod,0)),""),"")</f>
        <v/>
      </c>
      <c r="O85" s="15" t="str">
        <f aca="false">IF($B85&lt;&gt;"",IFERROR(INDEX(Lib_PIA,MATCH($B85,Lib_Cod,0)),""),"")</f>
        <v/>
      </c>
      <c r="P85" s="15" t="str">
        <f aca="false">IF($B85&lt;&gt;"","Biblioteca",IF($C85&lt;&gt;"","Própria",""))</f>
        <v/>
      </c>
      <c r="Q85" s="19" t="n">
        <f aca="false">IF(AND($J85&lt;&gt;"",$J85&lt;&gt;"Código inválido",$H85&lt;&gt;"Excluído"),1,0)</f>
        <v>0</v>
      </c>
      <c r="R85" s="18" t="str">
        <f aca="false">IF(AND($B85&lt;&gt;"",$C85&lt;&gt;""),"Use o código OU um nome próprio",IF(AND($B85&lt;&gt;"",COUNTIF($B$6:$B$105,$B85)&gt;1),"Código já cadastrado",IF(AND($C85&lt;&gt;"",OR($D85="",$F85="")),"Informe área e 1º degrau","")))</f>
        <v/>
      </c>
    </row>
    <row r="86" customFormat="false" ht="15" hidden="false" customHeight="false" outlineLevel="0" collapsed="false">
      <c r="A86" s="15" t="n">
        <v>81</v>
      </c>
      <c r="B86" s="16"/>
      <c r="C86" s="17"/>
      <c r="D86" s="16"/>
      <c r="E86" s="16"/>
      <c r="F86" s="16"/>
      <c r="G86" s="16"/>
      <c r="H86" s="16"/>
      <c r="I86" s="17"/>
      <c r="J86" s="18" t="str">
        <f aca="false">IF($B86&lt;&gt;"",IFERROR(INDEX(Lib_Proc,MATCH($B86,Lib_Cod,0)),"Código inválido"),IF($C86&lt;&gt;"",$C86,""))</f>
        <v/>
      </c>
      <c r="K86" s="15" t="str">
        <f aca="false">IF($B86&lt;&gt;"",IFERROR(INDEX(Lib_Area,MATCH($B86,Lib_Cod,0)),""),IF($C86&lt;&gt;"",$D86,""))</f>
        <v/>
      </c>
      <c r="L86" s="15" t="str">
        <f aca="false">IF($B86&lt;&gt;"",IFERROR(INDEX(Lib_Sinal,MATCH($B86,Lib_Cod,0)),""),IF($C86&lt;&gt;"",$E86,""))</f>
        <v/>
      </c>
      <c r="M86" s="15" t="str">
        <f aca="false">IF($B86&lt;&gt;"",IFERROR(INDEX(Lib_Deg,MATCH($B86,Lib_Cod,0)),""),IF($C86&lt;&gt;"",$F86,""))</f>
        <v/>
      </c>
      <c r="N86" s="15" t="str">
        <f aca="false">IF($B86&lt;&gt;"",IFERROR(INDEX(Lib_PA,MATCH($B86,Lib_Cod,0)),""),"")</f>
        <v/>
      </c>
      <c r="O86" s="15" t="str">
        <f aca="false">IF($B86&lt;&gt;"",IFERROR(INDEX(Lib_PIA,MATCH($B86,Lib_Cod,0)),""),"")</f>
        <v/>
      </c>
      <c r="P86" s="15" t="str">
        <f aca="false">IF($B86&lt;&gt;"","Biblioteca",IF($C86&lt;&gt;"","Própria",""))</f>
        <v/>
      </c>
      <c r="Q86" s="19" t="n">
        <f aca="false">IF(AND($J86&lt;&gt;"",$J86&lt;&gt;"Código inválido",$H86&lt;&gt;"Excluído"),1,0)</f>
        <v>0</v>
      </c>
      <c r="R86" s="18" t="str">
        <f aca="false">IF(AND($B86&lt;&gt;"",$C86&lt;&gt;""),"Use o código OU um nome próprio",IF(AND($B86&lt;&gt;"",COUNTIF($B$6:$B$105,$B86)&gt;1),"Código já cadastrado",IF(AND($C86&lt;&gt;"",OR($D86="",$F86="")),"Informe área e 1º degrau","")))</f>
        <v/>
      </c>
    </row>
    <row r="87" customFormat="false" ht="15" hidden="false" customHeight="false" outlineLevel="0" collapsed="false">
      <c r="A87" s="15" t="n">
        <v>82</v>
      </c>
      <c r="B87" s="16"/>
      <c r="C87" s="17"/>
      <c r="D87" s="16"/>
      <c r="E87" s="16"/>
      <c r="F87" s="16"/>
      <c r="G87" s="16"/>
      <c r="H87" s="16"/>
      <c r="I87" s="17"/>
      <c r="J87" s="18" t="str">
        <f aca="false">IF($B87&lt;&gt;"",IFERROR(INDEX(Lib_Proc,MATCH($B87,Lib_Cod,0)),"Código inválido"),IF($C87&lt;&gt;"",$C87,""))</f>
        <v/>
      </c>
      <c r="K87" s="15" t="str">
        <f aca="false">IF($B87&lt;&gt;"",IFERROR(INDEX(Lib_Area,MATCH($B87,Lib_Cod,0)),""),IF($C87&lt;&gt;"",$D87,""))</f>
        <v/>
      </c>
      <c r="L87" s="15" t="str">
        <f aca="false">IF($B87&lt;&gt;"",IFERROR(INDEX(Lib_Sinal,MATCH($B87,Lib_Cod,0)),""),IF($C87&lt;&gt;"",$E87,""))</f>
        <v/>
      </c>
      <c r="M87" s="15" t="str">
        <f aca="false">IF($B87&lt;&gt;"",IFERROR(INDEX(Lib_Deg,MATCH($B87,Lib_Cod,0)),""),IF($C87&lt;&gt;"",$F87,""))</f>
        <v/>
      </c>
      <c r="N87" s="15" t="str">
        <f aca="false">IF($B87&lt;&gt;"",IFERROR(INDEX(Lib_PA,MATCH($B87,Lib_Cod,0)),""),"")</f>
        <v/>
      </c>
      <c r="O87" s="15" t="str">
        <f aca="false">IF($B87&lt;&gt;"",IFERROR(INDEX(Lib_PIA,MATCH($B87,Lib_Cod,0)),""),"")</f>
        <v/>
      </c>
      <c r="P87" s="15" t="str">
        <f aca="false">IF($B87&lt;&gt;"","Biblioteca",IF($C87&lt;&gt;"","Própria",""))</f>
        <v/>
      </c>
      <c r="Q87" s="19" t="n">
        <f aca="false">IF(AND($J87&lt;&gt;"",$J87&lt;&gt;"Código inválido",$H87&lt;&gt;"Excluído"),1,0)</f>
        <v>0</v>
      </c>
      <c r="R87" s="18" t="str">
        <f aca="false">IF(AND($B87&lt;&gt;"",$C87&lt;&gt;""),"Use o código OU um nome próprio",IF(AND($B87&lt;&gt;"",COUNTIF($B$6:$B$105,$B87)&gt;1),"Código já cadastrado",IF(AND($C87&lt;&gt;"",OR($D87="",$F87="")),"Informe área e 1º degrau","")))</f>
        <v/>
      </c>
    </row>
    <row r="88" customFormat="false" ht="15" hidden="false" customHeight="false" outlineLevel="0" collapsed="false">
      <c r="A88" s="15" t="n">
        <v>83</v>
      </c>
      <c r="B88" s="16"/>
      <c r="C88" s="17"/>
      <c r="D88" s="16"/>
      <c r="E88" s="16"/>
      <c r="F88" s="16"/>
      <c r="G88" s="16"/>
      <c r="H88" s="16"/>
      <c r="I88" s="17"/>
      <c r="J88" s="18" t="str">
        <f aca="false">IF($B88&lt;&gt;"",IFERROR(INDEX(Lib_Proc,MATCH($B88,Lib_Cod,0)),"Código inválido"),IF($C88&lt;&gt;"",$C88,""))</f>
        <v/>
      </c>
      <c r="K88" s="15" t="str">
        <f aca="false">IF($B88&lt;&gt;"",IFERROR(INDEX(Lib_Area,MATCH($B88,Lib_Cod,0)),""),IF($C88&lt;&gt;"",$D88,""))</f>
        <v/>
      </c>
      <c r="L88" s="15" t="str">
        <f aca="false">IF($B88&lt;&gt;"",IFERROR(INDEX(Lib_Sinal,MATCH($B88,Lib_Cod,0)),""),IF($C88&lt;&gt;"",$E88,""))</f>
        <v/>
      </c>
      <c r="M88" s="15" t="str">
        <f aca="false">IF($B88&lt;&gt;"",IFERROR(INDEX(Lib_Deg,MATCH($B88,Lib_Cod,0)),""),IF($C88&lt;&gt;"",$F88,""))</f>
        <v/>
      </c>
      <c r="N88" s="15" t="str">
        <f aca="false">IF($B88&lt;&gt;"",IFERROR(INDEX(Lib_PA,MATCH($B88,Lib_Cod,0)),""),"")</f>
        <v/>
      </c>
      <c r="O88" s="15" t="str">
        <f aca="false">IF($B88&lt;&gt;"",IFERROR(INDEX(Lib_PIA,MATCH($B88,Lib_Cod,0)),""),"")</f>
        <v/>
      </c>
      <c r="P88" s="15" t="str">
        <f aca="false">IF($B88&lt;&gt;"","Biblioteca",IF($C88&lt;&gt;"","Própria",""))</f>
        <v/>
      </c>
      <c r="Q88" s="19" t="n">
        <f aca="false">IF(AND($J88&lt;&gt;"",$J88&lt;&gt;"Código inválido",$H88&lt;&gt;"Excluído"),1,0)</f>
        <v>0</v>
      </c>
      <c r="R88" s="18" t="str">
        <f aca="false">IF(AND($B88&lt;&gt;"",$C88&lt;&gt;""),"Use o código OU um nome próprio",IF(AND($B88&lt;&gt;"",COUNTIF($B$6:$B$105,$B88)&gt;1),"Código já cadastrado",IF(AND($C88&lt;&gt;"",OR($D88="",$F88="")),"Informe área e 1º degrau","")))</f>
        <v/>
      </c>
    </row>
    <row r="89" customFormat="false" ht="15" hidden="false" customHeight="false" outlineLevel="0" collapsed="false">
      <c r="A89" s="15" t="n">
        <v>84</v>
      </c>
      <c r="B89" s="16"/>
      <c r="C89" s="17"/>
      <c r="D89" s="16"/>
      <c r="E89" s="16"/>
      <c r="F89" s="16"/>
      <c r="G89" s="16"/>
      <c r="H89" s="16"/>
      <c r="I89" s="17"/>
      <c r="J89" s="18" t="str">
        <f aca="false">IF($B89&lt;&gt;"",IFERROR(INDEX(Lib_Proc,MATCH($B89,Lib_Cod,0)),"Código inválido"),IF($C89&lt;&gt;"",$C89,""))</f>
        <v/>
      </c>
      <c r="K89" s="15" t="str">
        <f aca="false">IF($B89&lt;&gt;"",IFERROR(INDEX(Lib_Area,MATCH($B89,Lib_Cod,0)),""),IF($C89&lt;&gt;"",$D89,""))</f>
        <v/>
      </c>
      <c r="L89" s="15" t="str">
        <f aca="false">IF($B89&lt;&gt;"",IFERROR(INDEX(Lib_Sinal,MATCH($B89,Lib_Cod,0)),""),IF($C89&lt;&gt;"",$E89,""))</f>
        <v/>
      </c>
      <c r="M89" s="15" t="str">
        <f aca="false">IF($B89&lt;&gt;"",IFERROR(INDEX(Lib_Deg,MATCH($B89,Lib_Cod,0)),""),IF($C89&lt;&gt;"",$F89,""))</f>
        <v/>
      </c>
      <c r="N89" s="15" t="str">
        <f aca="false">IF($B89&lt;&gt;"",IFERROR(INDEX(Lib_PA,MATCH($B89,Lib_Cod,0)),""),"")</f>
        <v/>
      </c>
      <c r="O89" s="15" t="str">
        <f aca="false">IF($B89&lt;&gt;"",IFERROR(INDEX(Lib_PIA,MATCH($B89,Lib_Cod,0)),""),"")</f>
        <v/>
      </c>
      <c r="P89" s="15" t="str">
        <f aca="false">IF($B89&lt;&gt;"","Biblioteca",IF($C89&lt;&gt;"","Própria",""))</f>
        <v/>
      </c>
      <c r="Q89" s="19" t="n">
        <f aca="false">IF(AND($J89&lt;&gt;"",$J89&lt;&gt;"Código inválido",$H89&lt;&gt;"Excluído"),1,0)</f>
        <v>0</v>
      </c>
      <c r="R89" s="18" t="str">
        <f aca="false">IF(AND($B89&lt;&gt;"",$C89&lt;&gt;""),"Use o código OU um nome próprio",IF(AND($B89&lt;&gt;"",COUNTIF($B$6:$B$105,$B89)&gt;1),"Código já cadastrado",IF(AND($C89&lt;&gt;"",OR($D89="",$F89="")),"Informe área e 1º degrau","")))</f>
        <v/>
      </c>
    </row>
    <row r="90" customFormat="false" ht="15" hidden="false" customHeight="false" outlineLevel="0" collapsed="false">
      <c r="A90" s="15" t="n">
        <v>85</v>
      </c>
      <c r="B90" s="16"/>
      <c r="C90" s="17"/>
      <c r="D90" s="16"/>
      <c r="E90" s="16"/>
      <c r="F90" s="16"/>
      <c r="G90" s="16"/>
      <c r="H90" s="16"/>
      <c r="I90" s="17"/>
      <c r="J90" s="18" t="str">
        <f aca="false">IF($B90&lt;&gt;"",IFERROR(INDEX(Lib_Proc,MATCH($B90,Lib_Cod,0)),"Código inválido"),IF($C90&lt;&gt;"",$C90,""))</f>
        <v/>
      </c>
      <c r="K90" s="15" t="str">
        <f aca="false">IF($B90&lt;&gt;"",IFERROR(INDEX(Lib_Area,MATCH($B90,Lib_Cod,0)),""),IF($C90&lt;&gt;"",$D90,""))</f>
        <v/>
      </c>
      <c r="L90" s="15" t="str">
        <f aca="false">IF($B90&lt;&gt;"",IFERROR(INDEX(Lib_Sinal,MATCH($B90,Lib_Cod,0)),""),IF($C90&lt;&gt;"",$E90,""))</f>
        <v/>
      </c>
      <c r="M90" s="15" t="str">
        <f aca="false">IF($B90&lt;&gt;"",IFERROR(INDEX(Lib_Deg,MATCH($B90,Lib_Cod,0)),""),IF($C90&lt;&gt;"",$F90,""))</f>
        <v/>
      </c>
      <c r="N90" s="15" t="str">
        <f aca="false">IF($B90&lt;&gt;"",IFERROR(INDEX(Lib_PA,MATCH($B90,Lib_Cod,0)),""),"")</f>
        <v/>
      </c>
      <c r="O90" s="15" t="str">
        <f aca="false">IF($B90&lt;&gt;"",IFERROR(INDEX(Lib_PIA,MATCH($B90,Lib_Cod,0)),""),"")</f>
        <v/>
      </c>
      <c r="P90" s="15" t="str">
        <f aca="false">IF($B90&lt;&gt;"","Biblioteca",IF($C90&lt;&gt;"","Própria",""))</f>
        <v/>
      </c>
      <c r="Q90" s="19" t="n">
        <f aca="false">IF(AND($J90&lt;&gt;"",$J90&lt;&gt;"Código inválido",$H90&lt;&gt;"Excluído"),1,0)</f>
        <v>0</v>
      </c>
      <c r="R90" s="18" t="str">
        <f aca="false">IF(AND($B90&lt;&gt;"",$C90&lt;&gt;""),"Use o código OU um nome próprio",IF(AND($B90&lt;&gt;"",COUNTIF($B$6:$B$105,$B90)&gt;1),"Código já cadastrado",IF(AND($C90&lt;&gt;"",OR($D90="",$F90="")),"Informe área e 1º degrau","")))</f>
        <v/>
      </c>
    </row>
    <row r="91" customFormat="false" ht="15" hidden="false" customHeight="false" outlineLevel="0" collapsed="false">
      <c r="A91" s="15" t="n">
        <v>86</v>
      </c>
      <c r="B91" s="16"/>
      <c r="C91" s="17"/>
      <c r="D91" s="16"/>
      <c r="E91" s="16"/>
      <c r="F91" s="16"/>
      <c r="G91" s="16"/>
      <c r="H91" s="16"/>
      <c r="I91" s="17"/>
      <c r="J91" s="18" t="str">
        <f aca="false">IF($B91&lt;&gt;"",IFERROR(INDEX(Lib_Proc,MATCH($B91,Lib_Cod,0)),"Código inválido"),IF($C91&lt;&gt;"",$C91,""))</f>
        <v/>
      </c>
      <c r="K91" s="15" t="str">
        <f aca="false">IF($B91&lt;&gt;"",IFERROR(INDEX(Lib_Area,MATCH($B91,Lib_Cod,0)),""),IF($C91&lt;&gt;"",$D91,""))</f>
        <v/>
      </c>
      <c r="L91" s="15" t="str">
        <f aca="false">IF($B91&lt;&gt;"",IFERROR(INDEX(Lib_Sinal,MATCH($B91,Lib_Cod,0)),""),IF($C91&lt;&gt;"",$E91,""))</f>
        <v/>
      </c>
      <c r="M91" s="15" t="str">
        <f aca="false">IF($B91&lt;&gt;"",IFERROR(INDEX(Lib_Deg,MATCH($B91,Lib_Cod,0)),""),IF($C91&lt;&gt;"",$F91,""))</f>
        <v/>
      </c>
      <c r="N91" s="15" t="str">
        <f aca="false">IF($B91&lt;&gt;"",IFERROR(INDEX(Lib_PA,MATCH($B91,Lib_Cod,0)),""),"")</f>
        <v/>
      </c>
      <c r="O91" s="15" t="str">
        <f aca="false">IF($B91&lt;&gt;"",IFERROR(INDEX(Lib_PIA,MATCH($B91,Lib_Cod,0)),""),"")</f>
        <v/>
      </c>
      <c r="P91" s="15" t="str">
        <f aca="false">IF($B91&lt;&gt;"","Biblioteca",IF($C91&lt;&gt;"","Própria",""))</f>
        <v/>
      </c>
      <c r="Q91" s="19" t="n">
        <f aca="false">IF(AND($J91&lt;&gt;"",$J91&lt;&gt;"Código inválido",$H91&lt;&gt;"Excluído"),1,0)</f>
        <v>0</v>
      </c>
      <c r="R91" s="18" t="str">
        <f aca="false">IF(AND($B91&lt;&gt;"",$C91&lt;&gt;""),"Use o código OU um nome próprio",IF(AND($B91&lt;&gt;"",COUNTIF($B$6:$B$105,$B91)&gt;1),"Código já cadastrado",IF(AND($C91&lt;&gt;"",OR($D91="",$F91="")),"Informe área e 1º degrau","")))</f>
        <v/>
      </c>
    </row>
    <row r="92" customFormat="false" ht="15" hidden="false" customHeight="false" outlineLevel="0" collapsed="false">
      <c r="A92" s="15" t="n">
        <v>87</v>
      </c>
      <c r="B92" s="16"/>
      <c r="C92" s="17"/>
      <c r="D92" s="16"/>
      <c r="E92" s="16"/>
      <c r="F92" s="16"/>
      <c r="G92" s="16"/>
      <c r="H92" s="16"/>
      <c r="I92" s="17"/>
      <c r="J92" s="18" t="str">
        <f aca="false">IF($B92&lt;&gt;"",IFERROR(INDEX(Lib_Proc,MATCH($B92,Lib_Cod,0)),"Código inválido"),IF($C92&lt;&gt;"",$C92,""))</f>
        <v/>
      </c>
      <c r="K92" s="15" t="str">
        <f aca="false">IF($B92&lt;&gt;"",IFERROR(INDEX(Lib_Area,MATCH($B92,Lib_Cod,0)),""),IF($C92&lt;&gt;"",$D92,""))</f>
        <v/>
      </c>
      <c r="L92" s="15" t="str">
        <f aca="false">IF($B92&lt;&gt;"",IFERROR(INDEX(Lib_Sinal,MATCH($B92,Lib_Cod,0)),""),IF($C92&lt;&gt;"",$E92,""))</f>
        <v/>
      </c>
      <c r="M92" s="15" t="str">
        <f aca="false">IF($B92&lt;&gt;"",IFERROR(INDEX(Lib_Deg,MATCH($B92,Lib_Cod,0)),""),IF($C92&lt;&gt;"",$F92,""))</f>
        <v/>
      </c>
      <c r="N92" s="15" t="str">
        <f aca="false">IF($B92&lt;&gt;"",IFERROR(INDEX(Lib_PA,MATCH($B92,Lib_Cod,0)),""),"")</f>
        <v/>
      </c>
      <c r="O92" s="15" t="str">
        <f aca="false">IF($B92&lt;&gt;"",IFERROR(INDEX(Lib_PIA,MATCH($B92,Lib_Cod,0)),""),"")</f>
        <v/>
      </c>
      <c r="P92" s="15" t="str">
        <f aca="false">IF($B92&lt;&gt;"","Biblioteca",IF($C92&lt;&gt;"","Própria",""))</f>
        <v/>
      </c>
      <c r="Q92" s="19" t="n">
        <f aca="false">IF(AND($J92&lt;&gt;"",$J92&lt;&gt;"Código inválido",$H92&lt;&gt;"Excluído"),1,0)</f>
        <v>0</v>
      </c>
      <c r="R92" s="18" t="str">
        <f aca="false">IF(AND($B92&lt;&gt;"",$C92&lt;&gt;""),"Use o código OU um nome próprio",IF(AND($B92&lt;&gt;"",COUNTIF($B$6:$B$105,$B92)&gt;1),"Código já cadastrado",IF(AND($C92&lt;&gt;"",OR($D92="",$F92="")),"Informe área e 1º degrau","")))</f>
        <v/>
      </c>
    </row>
    <row r="93" customFormat="false" ht="15" hidden="false" customHeight="false" outlineLevel="0" collapsed="false">
      <c r="A93" s="15" t="n">
        <v>88</v>
      </c>
      <c r="B93" s="16"/>
      <c r="C93" s="17"/>
      <c r="D93" s="16"/>
      <c r="E93" s="16"/>
      <c r="F93" s="16"/>
      <c r="G93" s="16"/>
      <c r="H93" s="16"/>
      <c r="I93" s="17"/>
      <c r="J93" s="18" t="str">
        <f aca="false">IF($B93&lt;&gt;"",IFERROR(INDEX(Lib_Proc,MATCH($B93,Lib_Cod,0)),"Código inválido"),IF($C93&lt;&gt;"",$C93,""))</f>
        <v/>
      </c>
      <c r="K93" s="15" t="str">
        <f aca="false">IF($B93&lt;&gt;"",IFERROR(INDEX(Lib_Area,MATCH($B93,Lib_Cod,0)),""),IF($C93&lt;&gt;"",$D93,""))</f>
        <v/>
      </c>
      <c r="L93" s="15" t="str">
        <f aca="false">IF($B93&lt;&gt;"",IFERROR(INDEX(Lib_Sinal,MATCH($B93,Lib_Cod,0)),""),IF($C93&lt;&gt;"",$E93,""))</f>
        <v/>
      </c>
      <c r="M93" s="15" t="str">
        <f aca="false">IF($B93&lt;&gt;"",IFERROR(INDEX(Lib_Deg,MATCH($B93,Lib_Cod,0)),""),IF($C93&lt;&gt;"",$F93,""))</f>
        <v/>
      </c>
      <c r="N93" s="15" t="str">
        <f aca="false">IF($B93&lt;&gt;"",IFERROR(INDEX(Lib_PA,MATCH($B93,Lib_Cod,0)),""),"")</f>
        <v/>
      </c>
      <c r="O93" s="15" t="str">
        <f aca="false">IF($B93&lt;&gt;"",IFERROR(INDEX(Lib_PIA,MATCH($B93,Lib_Cod,0)),""),"")</f>
        <v/>
      </c>
      <c r="P93" s="15" t="str">
        <f aca="false">IF($B93&lt;&gt;"","Biblioteca",IF($C93&lt;&gt;"","Própria",""))</f>
        <v/>
      </c>
      <c r="Q93" s="19" t="n">
        <f aca="false">IF(AND($J93&lt;&gt;"",$J93&lt;&gt;"Código inválido",$H93&lt;&gt;"Excluído"),1,0)</f>
        <v>0</v>
      </c>
      <c r="R93" s="18" t="str">
        <f aca="false">IF(AND($B93&lt;&gt;"",$C93&lt;&gt;""),"Use o código OU um nome próprio",IF(AND($B93&lt;&gt;"",COUNTIF($B$6:$B$105,$B93)&gt;1),"Código já cadastrado",IF(AND($C93&lt;&gt;"",OR($D93="",$F93="")),"Informe área e 1º degrau","")))</f>
        <v/>
      </c>
    </row>
    <row r="94" customFormat="false" ht="15" hidden="false" customHeight="false" outlineLevel="0" collapsed="false">
      <c r="A94" s="15" t="n">
        <v>89</v>
      </c>
      <c r="B94" s="16"/>
      <c r="C94" s="17"/>
      <c r="D94" s="16"/>
      <c r="E94" s="16"/>
      <c r="F94" s="16"/>
      <c r="G94" s="16"/>
      <c r="H94" s="16"/>
      <c r="I94" s="17"/>
      <c r="J94" s="18" t="str">
        <f aca="false">IF($B94&lt;&gt;"",IFERROR(INDEX(Lib_Proc,MATCH($B94,Lib_Cod,0)),"Código inválido"),IF($C94&lt;&gt;"",$C94,""))</f>
        <v/>
      </c>
      <c r="K94" s="15" t="str">
        <f aca="false">IF($B94&lt;&gt;"",IFERROR(INDEX(Lib_Area,MATCH($B94,Lib_Cod,0)),""),IF($C94&lt;&gt;"",$D94,""))</f>
        <v/>
      </c>
      <c r="L94" s="15" t="str">
        <f aca="false">IF($B94&lt;&gt;"",IFERROR(INDEX(Lib_Sinal,MATCH($B94,Lib_Cod,0)),""),IF($C94&lt;&gt;"",$E94,""))</f>
        <v/>
      </c>
      <c r="M94" s="15" t="str">
        <f aca="false">IF($B94&lt;&gt;"",IFERROR(INDEX(Lib_Deg,MATCH($B94,Lib_Cod,0)),""),IF($C94&lt;&gt;"",$F94,""))</f>
        <v/>
      </c>
      <c r="N94" s="15" t="str">
        <f aca="false">IF($B94&lt;&gt;"",IFERROR(INDEX(Lib_PA,MATCH($B94,Lib_Cod,0)),""),"")</f>
        <v/>
      </c>
      <c r="O94" s="15" t="str">
        <f aca="false">IF($B94&lt;&gt;"",IFERROR(INDEX(Lib_PIA,MATCH($B94,Lib_Cod,0)),""),"")</f>
        <v/>
      </c>
      <c r="P94" s="15" t="str">
        <f aca="false">IF($B94&lt;&gt;"","Biblioteca",IF($C94&lt;&gt;"","Própria",""))</f>
        <v/>
      </c>
      <c r="Q94" s="19" t="n">
        <f aca="false">IF(AND($J94&lt;&gt;"",$J94&lt;&gt;"Código inválido",$H94&lt;&gt;"Excluído"),1,0)</f>
        <v>0</v>
      </c>
      <c r="R94" s="18" t="str">
        <f aca="false">IF(AND($B94&lt;&gt;"",$C94&lt;&gt;""),"Use o código OU um nome próprio",IF(AND($B94&lt;&gt;"",COUNTIF($B$6:$B$105,$B94)&gt;1),"Código já cadastrado",IF(AND($C94&lt;&gt;"",OR($D94="",$F94="")),"Informe área e 1º degrau","")))</f>
        <v/>
      </c>
    </row>
    <row r="95" customFormat="false" ht="15" hidden="false" customHeight="false" outlineLevel="0" collapsed="false">
      <c r="A95" s="15" t="n">
        <v>90</v>
      </c>
      <c r="B95" s="16"/>
      <c r="C95" s="17"/>
      <c r="D95" s="16"/>
      <c r="E95" s="16"/>
      <c r="F95" s="16"/>
      <c r="G95" s="16"/>
      <c r="H95" s="16"/>
      <c r="I95" s="17"/>
      <c r="J95" s="18" t="str">
        <f aca="false">IF($B95&lt;&gt;"",IFERROR(INDEX(Lib_Proc,MATCH($B95,Lib_Cod,0)),"Código inválido"),IF($C95&lt;&gt;"",$C95,""))</f>
        <v/>
      </c>
      <c r="K95" s="15" t="str">
        <f aca="false">IF($B95&lt;&gt;"",IFERROR(INDEX(Lib_Area,MATCH($B95,Lib_Cod,0)),""),IF($C95&lt;&gt;"",$D95,""))</f>
        <v/>
      </c>
      <c r="L95" s="15" t="str">
        <f aca="false">IF($B95&lt;&gt;"",IFERROR(INDEX(Lib_Sinal,MATCH($B95,Lib_Cod,0)),""),IF($C95&lt;&gt;"",$E95,""))</f>
        <v/>
      </c>
      <c r="M95" s="15" t="str">
        <f aca="false">IF($B95&lt;&gt;"",IFERROR(INDEX(Lib_Deg,MATCH($B95,Lib_Cod,0)),""),IF($C95&lt;&gt;"",$F95,""))</f>
        <v/>
      </c>
      <c r="N95" s="15" t="str">
        <f aca="false">IF($B95&lt;&gt;"",IFERROR(INDEX(Lib_PA,MATCH($B95,Lib_Cod,0)),""),"")</f>
        <v/>
      </c>
      <c r="O95" s="15" t="str">
        <f aca="false">IF($B95&lt;&gt;"",IFERROR(INDEX(Lib_PIA,MATCH($B95,Lib_Cod,0)),""),"")</f>
        <v/>
      </c>
      <c r="P95" s="15" t="str">
        <f aca="false">IF($B95&lt;&gt;"","Biblioteca",IF($C95&lt;&gt;"","Própria",""))</f>
        <v/>
      </c>
      <c r="Q95" s="19" t="n">
        <f aca="false">IF(AND($J95&lt;&gt;"",$J95&lt;&gt;"Código inválido",$H95&lt;&gt;"Excluído"),1,0)</f>
        <v>0</v>
      </c>
      <c r="R95" s="18" t="str">
        <f aca="false">IF(AND($B95&lt;&gt;"",$C95&lt;&gt;""),"Use o código OU um nome próprio",IF(AND($B95&lt;&gt;"",COUNTIF($B$6:$B$105,$B95)&gt;1),"Código já cadastrado",IF(AND($C95&lt;&gt;"",OR($D95="",$F95="")),"Informe área e 1º degrau","")))</f>
        <v/>
      </c>
    </row>
    <row r="96" customFormat="false" ht="15" hidden="false" customHeight="false" outlineLevel="0" collapsed="false">
      <c r="A96" s="15" t="n">
        <v>91</v>
      </c>
      <c r="B96" s="16"/>
      <c r="C96" s="17"/>
      <c r="D96" s="16"/>
      <c r="E96" s="16"/>
      <c r="F96" s="16"/>
      <c r="G96" s="16"/>
      <c r="H96" s="16"/>
      <c r="I96" s="17"/>
      <c r="J96" s="18" t="str">
        <f aca="false">IF($B96&lt;&gt;"",IFERROR(INDEX(Lib_Proc,MATCH($B96,Lib_Cod,0)),"Código inválido"),IF($C96&lt;&gt;"",$C96,""))</f>
        <v/>
      </c>
      <c r="K96" s="15" t="str">
        <f aca="false">IF($B96&lt;&gt;"",IFERROR(INDEX(Lib_Area,MATCH($B96,Lib_Cod,0)),""),IF($C96&lt;&gt;"",$D96,""))</f>
        <v/>
      </c>
      <c r="L96" s="15" t="str">
        <f aca="false">IF($B96&lt;&gt;"",IFERROR(INDEX(Lib_Sinal,MATCH($B96,Lib_Cod,0)),""),IF($C96&lt;&gt;"",$E96,""))</f>
        <v/>
      </c>
      <c r="M96" s="15" t="str">
        <f aca="false">IF($B96&lt;&gt;"",IFERROR(INDEX(Lib_Deg,MATCH($B96,Lib_Cod,0)),""),IF($C96&lt;&gt;"",$F96,""))</f>
        <v/>
      </c>
      <c r="N96" s="15" t="str">
        <f aca="false">IF($B96&lt;&gt;"",IFERROR(INDEX(Lib_PA,MATCH($B96,Lib_Cod,0)),""),"")</f>
        <v/>
      </c>
      <c r="O96" s="15" t="str">
        <f aca="false">IF($B96&lt;&gt;"",IFERROR(INDEX(Lib_PIA,MATCH($B96,Lib_Cod,0)),""),"")</f>
        <v/>
      </c>
      <c r="P96" s="15" t="str">
        <f aca="false">IF($B96&lt;&gt;"","Biblioteca",IF($C96&lt;&gt;"","Própria",""))</f>
        <v/>
      </c>
      <c r="Q96" s="19" t="n">
        <f aca="false">IF(AND($J96&lt;&gt;"",$J96&lt;&gt;"Código inválido",$H96&lt;&gt;"Excluído"),1,0)</f>
        <v>0</v>
      </c>
      <c r="R96" s="18" t="str">
        <f aca="false">IF(AND($B96&lt;&gt;"",$C96&lt;&gt;""),"Use o código OU um nome próprio",IF(AND($B96&lt;&gt;"",COUNTIF($B$6:$B$105,$B96)&gt;1),"Código já cadastrado",IF(AND($C96&lt;&gt;"",OR($D96="",$F96="")),"Informe área e 1º degrau","")))</f>
        <v/>
      </c>
    </row>
    <row r="97" customFormat="false" ht="15" hidden="false" customHeight="false" outlineLevel="0" collapsed="false">
      <c r="A97" s="15" t="n">
        <v>92</v>
      </c>
      <c r="B97" s="16"/>
      <c r="C97" s="17"/>
      <c r="D97" s="16"/>
      <c r="E97" s="16"/>
      <c r="F97" s="16"/>
      <c r="G97" s="16"/>
      <c r="H97" s="16"/>
      <c r="I97" s="17"/>
      <c r="J97" s="18" t="str">
        <f aca="false">IF($B97&lt;&gt;"",IFERROR(INDEX(Lib_Proc,MATCH($B97,Lib_Cod,0)),"Código inválido"),IF($C97&lt;&gt;"",$C97,""))</f>
        <v/>
      </c>
      <c r="K97" s="15" t="str">
        <f aca="false">IF($B97&lt;&gt;"",IFERROR(INDEX(Lib_Area,MATCH($B97,Lib_Cod,0)),""),IF($C97&lt;&gt;"",$D97,""))</f>
        <v/>
      </c>
      <c r="L97" s="15" t="str">
        <f aca="false">IF($B97&lt;&gt;"",IFERROR(INDEX(Lib_Sinal,MATCH($B97,Lib_Cod,0)),""),IF($C97&lt;&gt;"",$E97,""))</f>
        <v/>
      </c>
      <c r="M97" s="15" t="str">
        <f aca="false">IF($B97&lt;&gt;"",IFERROR(INDEX(Lib_Deg,MATCH($B97,Lib_Cod,0)),""),IF($C97&lt;&gt;"",$F97,""))</f>
        <v/>
      </c>
      <c r="N97" s="15" t="str">
        <f aca="false">IF($B97&lt;&gt;"",IFERROR(INDEX(Lib_PA,MATCH($B97,Lib_Cod,0)),""),"")</f>
        <v/>
      </c>
      <c r="O97" s="15" t="str">
        <f aca="false">IF($B97&lt;&gt;"",IFERROR(INDEX(Lib_PIA,MATCH($B97,Lib_Cod,0)),""),"")</f>
        <v/>
      </c>
      <c r="P97" s="15" t="str">
        <f aca="false">IF($B97&lt;&gt;"","Biblioteca",IF($C97&lt;&gt;"","Própria",""))</f>
        <v/>
      </c>
      <c r="Q97" s="19" t="n">
        <f aca="false">IF(AND($J97&lt;&gt;"",$J97&lt;&gt;"Código inválido",$H97&lt;&gt;"Excluído"),1,0)</f>
        <v>0</v>
      </c>
      <c r="R97" s="18" t="str">
        <f aca="false">IF(AND($B97&lt;&gt;"",$C97&lt;&gt;""),"Use o código OU um nome próprio",IF(AND($B97&lt;&gt;"",COUNTIF($B$6:$B$105,$B97)&gt;1),"Código já cadastrado",IF(AND($C97&lt;&gt;"",OR($D97="",$F97="")),"Informe área e 1º degrau","")))</f>
        <v/>
      </c>
    </row>
    <row r="98" customFormat="false" ht="15" hidden="false" customHeight="false" outlineLevel="0" collapsed="false">
      <c r="A98" s="15" t="n">
        <v>93</v>
      </c>
      <c r="B98" s="16"/>
      <c r="C98" s="17"/>
      <c r="D98" s="16"/>
      <c r="E98" s="16"/>
      <c r="F98" s="16"/>
      <c r="G98" s="16"/>
      <c r="H98" s="16"/>
      <c r="I98" s="17"/>
      <c r="J98" s="18" t="str">
        <f aca="false">IF($B98&lt;&gt;"",IFERROR(INDEX(Lib_Proc,MATCH($B98,Lib_Cod,0)),"Código inválido"),IF($C98&lt;&gt;"",$C98,""))</f>
        <v/>
      </c>
      <c r="K98" s="15" t="str">
        <f aca="false">IF($B98&lt;&gt;"",IFERROR(INDEX(Lib_Area,MATCH($B98,Lib_Cod,0)),""),IF($C98&lt;&gt;"",$D98,""))</f>
        <v/>
      </c>
      <c r="L98" s="15" t="str">
        <f aca="false">IF($B98&lt;&gt;"",IFERROR(INDEX(Lib_Sinal,MATCH($B98,Lib_Cod,0)),""),IF($C98&lt;&gt;"",$E98,""))</f>
        <v/>
      </c>
      <c r="M98" s="15" t="str">
        <f aca="false">IF($B98&lt;&gt;"",IFERROR(INDEX(Lib_Deg,MATCH($B98,Lib_Cod,0)),""),IF($C98&lt;&gt;"",$F98,""))</f>
        <v/>
      </c>
      <c r="N98" s="15" t="str">
        <f aca="false">IF($B98&lt;&gt;"",IFERROR(INDEX(Lib_PA,MATCH($B98,Lib_Cod,0)),""),"")</f>
        <v/>
      </c>
      <c r="O98" s="15" t="str">
        <f aca="false">IF($B98&lt;&gt;"",IFERROR(INDEX(Lib_PIA,MATCH($B98,Lib_Cod,0)),""),"")</f>
        <v/>
      </c>
      <c r="P98" s="15" t="str">
        <f aca="false">IF($B98&lt;&gt;"","Biblioteca",IF($C98&lt;&gt;"","Própria",""))</f>
        <v/>
      </c>
      <c r="Q98" s="19" t="n">
        <f aca="false">IF(AND($J98&lt;&gt;"",$J98&lt;&gt;"Código inválido",$H98&lt;&gt;"Excluído"),1,0)</f>
        <v>0</v>
      </c>
      <c r="R98" s="18" t="str">
        <f aca="false">IF(AND($B98&lt;&gt;"",$C98&lt;&gt;""),"Use o código OU um nome próprio",IF(AND($B98&lt;&gt;"",COUNTIF($B$6:$B$105,$B98)&gt;1),"Código já cadastrado",IF(AND($C98&lt;&gt;"",OR($D98="",$F98="")),"Informe área e 1º degrau","")))</f>
        <v/>
      </c>
    </row>
    <row r="99" customFormat="false" ht="15" hidden="false" customHeight="false" outlineLevel="0" collapsed="false">
      <c r="A99" s="15" t="n">
        <v>94</v>
      </c>
      <c r="B99" s="16"/>
      <c r="C99" s="17"/>
      <c r="D99" s="16"/>
      <c r="E99" s="16"/>
      <c r="F99" s="16"/>
      <c r="G99" s="16"/>
      <c r="H99" s="16"/>
      <c r="I99" s="17"/>
      <c r="J99" s="18" t="str">
        <f aca="false">IF($B99&lt;&gt;"",IFERROR(INDEX(Lib_Proc,MATCH($B99,Lib_Cod,0)),"Código inválido"),IF($C99&lt;&gt;"",$C99,""))</f>
        <v/>
      </c>
      <c r="K99" s="15" t="str">
        <f aca="false">IF($B99&lt;&gt;"",IFERROR(INDEX(Lib_Area,MATCH($B99,Lib_Cod,0)),""),IF($C99&lt;&gt;"",$D99,""))</f>
        <v/>
      </c>
      <c r="L99" s="15" t="str">
        <f aca="false">IF($B99&lt;&gt;"",IFERROR(INDEX(Lib_Sinal,MATCH($B99,Lib_Cod,0)),""),IF($C99&lt;&gt;"",$E99,""))</f>
        <v/>
      </c>
      <c r="M99" s="15" t="str">
        <f aca="false">IF($B99&lt;&gt;"",IFERROR(INDEX(Lib_Deg,MATCH($B99,Lib_Cod,0)),""),IF($C99&lt;&gt;"",$F99,""))</f>
        <v/>
      </c>
      <c r="N99" s="15" t="str">
        <f aca="false">IF($B99&lt;&gt;"",IFERROR(INDEX(Lib_PA,MATCH($B99,Lib_Cod,0)),""),"")</f>
        <v/>
      </c>
      <c r="O99" s="15" t="str">
        <f aca="false">IF($B99&lt;&gt;"",IFERROR(INDEX(Lib_PIA,MATCH($B99,Lib_Cod,0)),""),"")</f>
        <v/>
      </c>
      <c r="P99" s="15" t="str">
        <f aca="false">IF($B99&lt;&gt;"","Biblioteca",IF($C99&lt;&gt;"","Própria",""))</f>
        <v/>
      </c>
      <c r="Q99" s="19" t="n">
        <f aca="false">IF(AND($J99&lt;&gt;"",$J99&lt;&gt;"Código inválido",$H99&lt;&gt;"Excluído"),1,0)</f>
        <v>0</v>
      </c>
      <c r="R99" s="18" t="str">
        <f aca="false">IF(AND($B99&lt;&gt;"",$C99&lt;&gt;""),"Use o código OU um nome próprio",IF(AND($B99&lt;&gt;"",COUNTIF($B$6:$B$105,$B99)&gt;1),"Código já cadastrado",IF(AND($C99&lt;&gt;"",OR($D99="",$F99="")),"Informe área e 1º degrau","")))</f>
        <v/>
      </c>
    </row>
    <row r="100" customFormat="false" ht="15" hidden="false" customHeight="false" outlineLevel="0" collapsed="false">
      <c r="A100" s="15" t="n">
        <v>95</v>
      </c>
      <c r="B100" s="16"/>
      <c r="C100" s="17"/>
      <c r="D100" s="16"/>
      <c r="E100" s="16"/>
      <c r="F100" s="16"/>
      <c r="G100" s="16"/>
      <c r="H100" s="16"/>
      <c r="I100" s="17"/>
      <c r="J100" s="18" t="str">
        <f aca="false">IF($B100&lt;&gt;"",IFERROR(INDEX(Lib_Proc,MATCH($B100,Lib_Cod,0)),"Código inválido"),IF($C100&lt;&gt;"",$C100,""))</f>
        <v/>
      </c>
      <c r="K100" s="15" t="str">
        <f aca="false">IF($B100&lt;&gt;"",IFERROR(INDEX(Lib_Area,MATCH($B100,Lib_Cod,0)),""),IF($C100&lt;&gt;"",$D100,""))</f>
        <v/>
      </c>
      <c r="L100" s="15" t="str">
        <f aca="false">IF($B100&lt;&gt;"",IFERROR(INDEX(Lib_Sinal,MATCH($B100,Lib_Cod,0)),""),IF($C100&lt;&gt;"",$E100,""))</f>
        <v/>
      </c>
      <c r="M100" s="15" t="str">
        <f aca="false">IF($B100&lt;&gt;"",IFERROR(INDEX(Lib_Deg,MATCH($B100,Lib_Cod,0)),""),IF($C100&lt;&gt;"",$F100,""))</f>
        <v/>
      </c>
      <c r="N100" s="15" t="str">
        <f aca="false">IF($B100&lt;&gt;"",IFERROR(INDEX(Lib_PA,MATCH($B100,Lib_Cod,0)),""),"")</f>
        <v/>
      </c>
      <c r="O100" s="15" t="str">
        <f aca="false">IF($B100&lt;&gt;"",IFERROR(INDEX(Lib_PIA,MATCH($B100,Lib_Cod,0)),""),"")</f>
        <v/>
      </c>
      <c r="P100" s="15" t="str">
        <f aca="false">IF($B100&lt;&gt;"","Biblioteca",IF($C100&lt;&gt;"","Própria",""))</f>
        <v/>
      </c>
      <c r="Q100" s="19" t="n">
        <f aca="false">IF(AND($J100&lt;&gt;"",$J100&lt;&gt;"Código inválido",$H100&lt;&gt;"Excluído"),1,0)</f>
        <v>0</v>
      </c>
      <c r="R100" s="18" t="str">
        <f aca="false">IF(AND($B100&lt;&gt;"",$C100&lt;&gt;""),"Use o código OU um nome próprio",IF(AND($B100&lt;&gt;"",COUNTIF($B$6:$B$105,$B100)&gt;1),"Código já cadastrado",IF(AND($C100&lt;&gt;"",OR($D100="",$F100="")),"Informe área e 1º degrau","")))</f>
        <v/>
      </c>
    </row>
    <row r="101" customFormat="false" ht="15" hidden="false" customHeight="false" outlineLevel="0" collapsed="false">
      <c r="A101" s="15" t="n">
        <v>96</v>
      </c>
      <c r="B101" s="16"/>
      <c r="C101" s="17"/>
      <c r="D101" s="16"/>
      <c r="E101" s="16"/>
      <c r="F101" s="16"/>
      <c r="G101" s="16"/>
      <c r="H101" s="16"/>
      <c r="I101" s="17"/>
      <c r="J101" s="18" t="str">
        <f aca="false">IF($B101&lt;&gt;"",IFERROR(INDEX(Lib_Proc,MATCH($B101,Lib_Cod,0)),"Código inválido"),IF($C101&lt;&gt;"",$C101,""))</f>
        <v/>
      </c>
      <c r="K101" s="15" t="str">
        <f aca="false">IF($B101&lt;&gt;"",IFERROR(INDEX(Lib_Area,MATCH($B101,Lib_Cod,0)),""),IF($C101&lt;&gt;"",$D101,""))</f>
        <v/>
      </c>
      <c r="L101" s="15" t="str">
        <f aca="false">IF($B101&lt;&gt;"",IFERROR(INDEX(Lib_Sinal,MATCH($B101,Lib_Cod,0)),""),IF($C101&lt;&gt;"",$E101,""))</f>
        <v/>
      </c>
      <c r="M101" s="15" t="str">
        <f aca="false">IF($B101&lt;&gt;"",IFERROR(INDEX(Lib_Deg,MATCH($B101,Lib_Cod,0)),""),IF($C101&lt;&gt;"",$F101,""))</f>
        <v/>
      </c>
      <c r="N101" s="15" t="str">
        <f aca="false">IF($B101&lt;&gt;"",IFERROR(INDEX(Lib_PA,MATCH($B101,Lib_Cod,0)),""),"")</f>
        <v/>
      </c>
      <c r="O101" s="15" t="str">
        <f aca="false">IF($B101&lt;&gt;"",IFERROR(INDEX(Lib_PIA,MATCH($B101,Lib_Cod,0)),""),"")</f>
        <v/>
      </c>
      <c r="P101" s="15" t="str">
        <f aca="false">IF($B101&lt;&gt;"","Biblioteca",IF($C101&lt;&gt;"","Própria",""))</f>
        <v/>
      </c>
      <c r="Q101" s="19" t="n">
        <f aca="false">IF(AND($J101&lt;&gt;"",$J101&lt;&gt;"Código inválido",$H101&lt;&gt;"Excluído"),1,0)</f>
        <v>0</v>
      </c>
      <c r="R101" s="18" t="str">
        <f aca="false">IF(AND($B101&lt;&gt;"",$C101&lt;&gt;""),"Use o código OU um nome próprio",IF(AND($B101&lt;&gt;"",COUNTIF($B$6:$B$105,$B101)&gt;1),"Código já cadastrado",IF(AND($C101&lt;&gt;"",OR($D101="",$F101="")),"Informe área e 1º degrau","")))</f>
        <v/>
      </c>
    </row>
    <row r="102" customFormat="false" ht="15" hidden="false" customHeight="false" outlineLevel="0" collapsed="false">
      <c r="A102" s="15" t="n">
        <v>97</v>
      </c>
      <c r="B102" s="16"/>
      <c r="C102" s="17"/>
      <c r="D102" s="16"/>
      <c r="E102" s="16"/>
      <c r="F102" s="16"/>
      <c r="G102" s="16"/>
      <c r="H102" s="16"/>
      <c r="I102" s="17"/>
      <c r="J102" s="18" t="str">
        <f aca="false">IF($B102&lt;&gt;"",IFERROR(INDEX(Lib_Proc,MATCH($B102,Lib_Cod,0)),"Código inválido"),IF($C102&lt;&gt;"",$C102,""))</f>
        <v/>
      </c>
      <c r="K102" s="15" t="str">
        <f aca="false">IF($B102&lt;&gt;"",IFERROR(INDEX(Lib_Area,MATCH($B102,Lib_Cod,0)),""),IF($C102&lt;&gt;"",$D102,""))</f>
        <v/>
      </c>
      <c r="L102" s="15" t="str">
        <f aca="false">IF($B102&lt;&gt;"",IFERROR(INDEX(Lib_Sinal,MATCH($B102,Lib_Cod,0)),""),IF($C102&lt;&gt;"",$E102,""))</f>
        <v/>
      </c>
      <c r="M102" s="15" t="str">
        <f aca="false">IF($B102&lt;&gt;"",IFERROR(INDEX(Lib_Deg,MATCH($B102,Lib_Cod,0)),""),IF($C102&lt;&gt;"",$F102,""))</f>
        <v/>
      </c>
      <c r="N102" s="15" t="str">
        <f aca="false">IF($B102&lt;&gt;"",IFERROR(INDEX(Lib_PA,MATCH($B102,Lib_Cod,0)),""),"")</f>
        <v/>
      </c>
      <c r="O102" s="15" t="str">
        <f aca="false">IF($B102&lt;&gt;"",IFERROR(INDEX(Lib_PIA,MATCH($B102,Lib_Cod,0)),""),"")</f>
        <v/>
      </c>
      <c r="P102" s="15" t="str">
        <f aca="false">IF($B102&lt;&gt;"","Biblioteca",IF($C102&lt;&gt;"","Própria",""))</f>
        <v/>
      </c>
      <c r="Q102" s="19" t="n">
        <f aca="false">IF(AND($J102&lt;&gt;"",$J102&lt;&gt;"Código inválido",$H102&lt;&gt;"Excluído"),1,0)</f>
        <v>0</v>
      </c>
      <c r="R102" s="18" t="str">
        <f aca="false">IF(AND($B102&lt;&gt;"",$C102&lt;&gt;""),"Use o código OU um nome próprio",IF(AND($B102&lt;&gt;"",COUNTIF($B$6:$B$105,$B102)&gt;1),"Código já cadastrado",IF(AND($C102&lt;&gt;"",OR($D102="",$F102="")),"Informe área e 1º degrau","")))</f>
        <v/>
      </c>
    </row>
    <row r="103" customFormat="false" ht="15" hidden="false" customHeight="false" outlineLevel="0" collapsed="false">
      <c r="A103" s="15" t="n">
        <v>98</v>
      </c>
      <c r="B103" s="16"/>
      <c r="C103" s="17"/>
      <c r="D103" s="16"/>
      <c r="E103" s="16"/>
      <c r="F103" s="16"/>
      <c r="G103" s="16"/>
      <c r="H103" s="16"/>
      <c r="I103" s="17"/>
      <c r="J103" s="18" t="str">
        <f aca="false">IF($B103&lt;&gt;"",IFERROR(INDEX(Lib_Proc,MATCH($B103,Lib_Cod,0)),"Código inválido"),IF($C103&lt;&gt;"",$C103,""))</f>
        <v/>
      </c>
      <c r="K103" s="15" t="str">
        <f aca="false">IF($B103&lt;&gt;"",IFERROR(INDEX(Lib_Area,MATCH($B103,Lib_Cod,0)),""),IF($C103&lt;&gt;"",$D103,""))</f>
        <v/>
      </c>
      <c r="L103" s="15" t="str">
        <f aca="false">IF($B103&lt;&gt;"",IFERROR(INDEX(Lib_Sinal,MATCH($B103,Lib_Cod,0)),""),IF($C103&lt;&gt;"",$E103,""))</f>
        <v/>
      </c>
      <c r="M103" s="15" t="str">
        <f aca="false">IF($B103&lt;&gt;"",IFERROR(INDEX(Lib_Deg,MATCH($B103,Lib_Cod,0)),""),IF($C103&lt;&gt;"",$F103,""))</f>
        <v/>
      </c>
      <c r="N103" s="15" t="str">
        <f aca="false">IF($B103&lt;&gt;"",IFERROR(INDEX(Lib_PA,MATCH($B103,Lib_Cod,0)),""),"")</f>
        <v/>
      </c>
      <c r="O103" s="15" t="str">
        <f aca="false">IF($B103&lt;&gt;"",IFERROR(INDEX(Lib_PIA,MATCH($B103,Lib_Cod,0)),""),"")</f>
        <v/>
      </c>
      <c r="P103" s="15" t="str">
        <f aca="false">IF($B103&lt;&gt;"","Biblioteca",IF($C103&lt;&gt;"","Própria",""))</f>
        <v/>
      </c>
      <c r="Q103" s="19" t="n">
        <f aca="false">IF(AND($J103&lt;&gt;"",$J103&lt;&gt;"Código inválido",$H103&lt;&gt;"Excluído"),1,0)</f>
        <v>0</v>
      </c>
      <c r="R103" s="18" t="str">
        <f aca="false">IF(AND($B103&lt;&gt;"",$C103&lt;&gt;""),"Use o código OU um nome próprio",IF(AND($B103&lt;&gt;"",COUNTIF($B$6:$B$105,$B103)&gt;1),"Código já cadastrado",IF(AND($C103&lt;&gt;"",OR($D103="",$F103="")),"Informe área e 1º degrau","")))</f>
        <v/>
      </c>
    </row>
    <row r="104" customFormat="false" ht="15" hidden="false" customHeight="false" outlineLevel="0" collapsed="false">
      <c r="A104" s="15" t="n">
        <v>99</v>
      </c>
      <c r="B104" s="16"/>
      <c r="C104" s="17"/>
      <c r="D104" s="16"/>
      <c r="E104" s="16"/>
      <c r="F104" s="16"/>
      <c r="G104" s="16"/>
      <c r="H104" s="16"/>
      <c r="I104" s="17"/>
      <c r="J104" s="18" t="str">
        <f aca="false">IF($B104&lt;&gt;"",IFERROR(INDEX(Lib_Proc,MATCH($B104,Lib_Cod,0)),"Código inválido"),IF($C104&lt;&gt;"",$C104,""))</f>
        <v/>
      </c>
      <c r="K104" s="15" t="str">
        <f aca="false">IF($B104&lt;&gt;"",IFERROR(INDEX(Lib_Area,MATCH($B104,Lib_Cod,0)),""),IF($C104&lt;&gt;"",$D104,""))</f>
        <v/>
      </c>
      <c r="L104" s="15" t="str">
        <f aca="false">IF($B104&lt;&gt;"",IFERROR(INDEX(Lib_Sinal,MATCH($B104,Lib_Cod,0)),""),IF($C104&lt;&gt;"",$E104,""))</f>
        <v/>
      </c>
      <c r="M104" s="15" t="str">
        <f aca="false">IF($B104&lt;&gt;"",IFERROR(INDEX(Lib_Deg,MATCH($B104,Lib_Cod,0)),""),IF($C104&lt;&gt;"",$F104,""))</f>
        <v/>
      </c>
      <c r="N104" s="15" t="str">
        <f aca="false">IF($B104&lt;&gt;"",IFERROR(INDEX(Lib_PA,MATCH($B104,Lib_Cod,0)),""),"")</f>
        <v/>
      </c>
      <c r="O104" s="15" t="str">
        <f aca="false">IF($B104&lt;&gt;"",IFERROR(INDEX(Lib_PIA,MATCH($B104,Lib_Cod,0)),""),"")</f>
        <v/>
      </c>
      <c r="P104" s="15" t="str">
        <f aca="false">IF($B104&lt;&gt;"","Biblioteca",IF($C104&lt;&gt;"","Própria",""))</f>
        <v/>
      </c>
      <c r="Q104" s="19" t="n">
        <f aca="false">IF(AND($J104&lt;&gt;"",$J104&lt;&gt;"Código inválido",$H104&lt;&gt;"Excluído"),1,0)</f>
        <v>0</v>
      </c>
      <c r="R104" s="18" t="str">
        <f aca="false">IF(AND($B104&lt;&gt;"",$C104&lt;&gt;""),"Use o código OU um nome próprio",IF(AND($B104&lt;&gt;"",COUNTIF($B$6:$B$105,$B104)&gt;1),"Código já cadastrado",IF(AND($C104&lt;&gt;"",OR($D104="",$F104="")),"Informe área e 1º degrau","")))</f>
        <v/>
      </c>
    </row>
    <row r="105" customFormat="false" ht="15" hidden="false" customHeight="false" outlineLevel="0" collapsed="false">
      <c r="A105" s="15" t="n">
        <v>100</v>
      </c>
      <c r="B105" s="16"/>
      <c r="C105" s="17"/>
      <c r="D105" s="16"/>
      <c r="E105" s="16"/>
      <c r="F105" s="16"/>
      <c r="G105" s="16"/>
      <c r="H105" s="16"/>
      <c r="I105" s="17"/>
      <c r="J105" s="18" t="str">
        <f aca="false">IF($B105&lt;&gt;"",IFERROR(INDEX(Lib_Proc,MATCH($B105,Lib_Cod,0)),"Código inválido"),IF($C105&lt;&gt;"",$C105,""))</f>
        <v/>
      </c>
      <c r="K105" s="15" t="str">
        <f aca="false">IF($B105&lt;&gt;"",IFERROR(INDEX(Lib_Area,MATCH($B105,Lib_Cod,0)),""),IF($C105&lt;&gt;"",$D105,""))</f>
        <v/>
      </c>
      <c r="L105" s="15" t="str">
        <f aca="false">IF($B105&lt;&gt;"",IFERROR(INDEX(Lib_Sinal,MATCH($B105,Lib_Cod,0)),""),IF($C105&lt;&gt;"",$E105,""))</f>
        <v/>
      </c>
      <c r="M105" s="15" t="str">
        <f aca="false">IF($B105&lt;&gt;"",IFERROR(INDEX(Lib_Deg,MATCH($B105,Lib_Cod,0)),""),IF($C105&lt;&gt;"",$F105,""))</f>
        <v/>
      </c>
      <c r="N105" s="15" t="str">
        <f aca="false">IF($B105&lt;&gt;"",IFERROR(INDEX(Lib_PA,MATCH($B105,Lib_Cod,0)),""),"")</f>
        <v/>
      </c>
      <c r="O105" s="15" t="str">
        <f aca="false">IF($B105&lt;&gt;"",IFERROR(INDEX(Lib_PIA,MATCH($B105,Lib_Cod,0)),""),"")</f>
        <v/>
      </c>
      <c r="P105" s="15" t="str">
        <f aca="false">IF($B105&lt;&gt;"","Biblioteca",IF($C105&lt;&gt;"","Própria",""))</f>
        <v/>
      </c>
      <c r="Q105" s="19" t="n">
        <f aca="false">IF(AND($J105&lt;&gt;"",$J105&lt;&gt;"Código inválido",$H105&lt;&gt;"Excluído"),1,0)</f>
        <v>0</v>
      </c>
      <c r="R105" s="18" t="str">
        <f aca="false">IF(AND($B105&lt;&gt;"",$C105&lt;&gt;""),"Use o código OU um nome próprio",IF(AND($B105&lt;&gt;"",COUNTIF($B$6:$B$105,$B105)&gt;1),"Código já cadastrado",IF(AND($C105&lt;&gt;"",OR($D105="",$F105="")),"Informe área e 1º degrau","")))</f>
        <v/>
      </c>
    </row>
  </sheetData>
  <sheetProtection sheet="true" formatColumns="false" formatRows="false" sort="false" autoFilter="false"/>
  <autoFilter ref="A5:R105"/>
  <mergeCells count="2">
    <mergeCell ref="B4:I4"/>
    <mergeCell ref="J4:R4"/>
  </mergeCells>
  <dataValidations count="5">
    <dataValidation allowBlank="true" errorStyle="stop" operator="between" prompt="Escolha um dos 50 processos da Parte 6" promptTitle="Método MAPA" showDropDown="false" showErrorMessage="true" showInputMessage="true" sqref="B6:B105" type="list">
      <formula1>Lib_Cod</formula1>
      <formula2>0</formula2>
    </dataValidation>
    <dataValidation allowBlank="true" errorStyle="stop" operator="between" showDropDown="false" showErrorMessage="true" showInputMessage="false" sqref="D6:D105" type="list">
      <formula1>L_Areas</formula1>
      <formula2>0</formula2>
    </dataValidation>
    <dataValidation allowBlank="true" errorStyle="stop" operator="between" showDropDown="false" showErrorMessage="true" showInputMessage="false" sqref="E6:E105" type="list">
      <formula1>L_Sinais</formula1>
      <formula2>0</formula2>
    </dataValidation>
    <dataValidation allowBlank="true" errorStyle="stop" operator="between" showDropDown="false" showErrorMessage="true" showInputMessage="false" sqref="F6:F105" type="list">
      <formula1>L_Degraus</formula1>
      <formula2>0</formula2>
    </dataValidation>
    <dataValidation allowBlank="true" errorStyle="stop" operator="between" prompt="Vazio = Ativo. Para retirar o processo, use Excluído." promptTitle="Método MAPA" showDropDown="false" showErrorMessage="true" showInputMessage="true" sqref="H6:H105" type="list">
      <formula1>L_Status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30"/>
    <col collapsed="false" customWidth="true" hidden="false" outlineLevel="0" max="4" min="4" style="0" width="46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1" min="10" style="0" width="10"/>
  </cols>
  <sheetData>
    <row r="1" customFormat="false" ht="19.7" hidden="false" customHeight="false" outlineLevel="0" collapsed="false">
      <c r="A1" s="12" t="s">
        <v>76</v>
      </c>
    </row>
    <row r="2" customFormat="false" ht="15" hidden="false" customHeight="false" outlineLevel="0" collapsed="false">
      <c r="A2" s="2" t="s">
        <v>77</v>
      </c>
    </row>
    <row r="5" customFormat="false" ht="42" hidden="false" customHeight="true" outlineLevel="0" collapsed="false">
      <c r="A5" s="14" t="s">
        <v>78</v>
      </c>
      <c r="B5" s="14" t="s">
        <v>68</v>
      </c>
      <c r="C5" s="14" t="s">
        <v>67</v>
      </c>
      <c r="D5" s="14" t="s">
        <v>79</v>
      </c>
      <c r="E5" s="14" t="s">
        <v>69</v>
      </c>
      <c r="F5" s="14" t="s">
        <v>70</v>
      </c>
      <c r="G5" s="14" t="s">
        <v>80</v>
      </c>
      <c r="H5" s="14" t="s">
        <v>81</v>
      </c>
      <c r="I5" s="14" t="s">
        <v>82</v>
      </c>
      <c r="J5" s="14" t="s">
        <v>83</v>
      </c>
      <c r="K5" s="14" t="s">
        <v>84</v>
      </c>
    </row>
    <row r="6" customFormat="false" ht="23.85" hidden="false" customHeight="false" outlineLevel="0" collapsed="false">
      <c r="A6" s="15" t="s">
        <v>85</v>
      </c>
      <c r="B6" s="15" t="s">
        <v>27</v>
      </c>
      <c r="C6" s="18" t="s">
        <v>86</v>
      </c>
      <c r="D6" s="18" t="s">
        <v>87</v>
      </c>
      <c r="E6" s="18" t="s">
        <v>88</v>
      </c>
      <c r="F6" s="15" t="s">
        <v>51</v>
      </c>
      <c r="G6" s="15" t="s">
        <v>89</v>
      </c>
      <c r="H6" s="15" t="s">
        <v>89</v>
      </c>
      <c r="I6" s="15" t="n">
        <v>3</v>
      </c>
      <c r="J6" s="15" t="n">
        <v>49</v>
      </c>
      <c r="K6" s="20" t="str">
        <f aca="false">IF(COUNTIF('MEUS PROCESSOS'!$B$6:$B$105,A6)&gt;0,"✓","")</f>
        <v/>
      </c>
    </row>
    <row r="7" customFormat="false" ht="23.85" hidden="false" customHeight="false" outlineLevel="0" collapsed="false">
      <c r="A7" s="15" t="s">
        <v>90</v>
      </c>
      <c r="B7" s="15" t="s">
        <v>27</v>
      </c>
      <c r="C7" s="18" t="s">
        <v>91</v>
      </c>
      <c r="D7" s="18" t="s">
        <v>92</v>
      </c>
      <c r="E7" s="18" t="s">
        <v>93</v>
      </c>
      <c r="F7" s="15" t="s">
        <v>45</v>
      </c>
      <c r="G7" s="15" t="s">
        <v>94</v>
      </c>
      <c r="H7" s="15" t="s">
        <v>95</v>
      </c>
      <c r="I7" s="15" t="n">
        <v>2</v>
      </c>
      <c r="J7" s="15" t="n">
        <v>50</v>
      </c>
      <c r="K7" s="20" t="str">
        <f aca="false">IF(COUNTIF('MEUS PROCESSOS'!$B$6:$B$105,A7)&gt;0,"✓","")</f>
        <v/>
      </c>
    </row>
    <row r="8" customFormat="false" ht="15" hidden="false" customHeight="false" outlineLevel="0" collapsed="false">
      <c r="A8" s="15" t="s">
        <v>96</v>
      </c>
      <c r="B8" s="15" t="s">
        <v>27</v>
      </c>
      <c r="C8" s="18" t="s">
        <v>97</v>
      </c>
      <c r="D8" s="18" t="s">
        <v>98</v>
      </c>
      <c r="E8" s="18" t="s">
        <v>99</v>
      </c>
      <c r="F8" s="15" t="s">
        <v>51</v>
      </c>
      <c r="G8" s="15" t="s">
        <v>89</v>
      </c>
      <c r="H8" s="15" t="s">
        <v>94</v>
      </c>
      <c r="I8" s="15" t="n">
        <v>3</v>
      </c>
      <c r="J8" s="15" t="n">
        <v>50</v>
      </c>
      <c r="K8" s="20" t="str">
        <f aca="false">IF(COUNTIF('MEUS PROCESSOS'!$B$6:$B$105,A8)&gt;0,"✓","")</f>
        <v/>
      </c>
    </row>
    <row r="9" customFormat="false" ht="23.85" hidden="false" customHeight="false" outlineLevel="0" collapsed="false">
      <c r="A9" s="15" t="s">
        <v>100</v>
      </c>
      <c r="B9" s="15" t="s">
        <v>27</v>
      </c>
      <c r="C9" s="18" t="s">
        <v>101</v>
      </c>
      <c r="D9" s="18" t="s">
        <v>102</v>
      </c>
      <c r="E9" s="18" t="s">
        <v>99</v>
      </c>
      <c r="F9" s="15" t="s">
        <v>49</v>
      </c>
      <c r="G9" s="15" t="s">
        <v>89</v>
      </c>
      <c r="H9" s="15" t="s">
        <v>94</v>
      </c>
      <c r="I9" s="15" t="n">
        <v>3</v>
      </c>
      <c r="J9" s="15" t="n">
        <v>51</v>
      </c>
      <c r="K9" s="20" t="str">
        <f aca="false">IF(COUNTIF('MEUS PROCESSOS'!$B$6:$B$105,A9)&gt;0,"✓","")</f>
        <v/>
      </c>
    </row>
    <row r="10" customFormat="false" ht="15" hidden="false" customHeight="false" outlineLevel="0" collapsed="false">
      <c r="A10" s="15" t="s">
        <v>103</v>
      </c>
      <c r="B10" s="15" t="s">
        <v>27</v>
      </c>
      <c r="C10" s="18" t="s">
        <v>104</v>
      </c>
      <c r="D10" s="18" t="s">
        <v>105</v>
      </c>
      <c r="E10" s="18" t="s">
        <v>106</v>
      </c>
      <c r="F10" s="15" t="s">
        <v>51</v>
      </c>
      <c r="G10" s="15" t="s">
        <v>89</v>
      </c>
      <c r="H10" s="15" t="s">
        <v>94</v>
      </c>
      <c r="I10" s="15" t="n">
        <v>3</v>
      </c>
      <c r="J10" s="15" t="n">
        <v>51</v>
      </c>
      <c r="K10" s="20" t="str">
        <f aca="false">IF(COUNTIF('MEUS PROCESSOS'!$B$6:$B$105,A10)&gt;0,"✓","")</f>
        <v/>
      </c>
    </row>
    <row r="11" customFormat="false" ht="15" hidden="false" customHeight="false" outlineLevel="0" collapsed="false">
      <c r="A11" s="15" t="s">
        <v>107</v>
      </c>
      <c r="B11" s="15" t="s">
        <v>27</v>
      </c>
      <c r="C11" s="18" t="s">
        <v>108</v>
      </c>
      <c r="D11" s="18" t="s">
        <v>109</v>
      </c>
      <c r="E11" s="18" t="s">
        <v>110</v>
      </c>
      <c r="F11" s="15" t="s">
        <v>49</v>
      </c>
      <c r="G11" s="15" t="s">
        <v>89</v>
      </c>
      <c r="H11" s="15" t="s">
        <v>94</v>
      </c>
      <c r="I11" s="15" t="n">
        <v>2</v>
      </c>
      <c r="J11" s="15" t="n">
        <v>52</v>
      </c>
      <c r="K11" s="20" t="str">
        <f aca="false">IF(COUNTIF('MEUS PROCESSOS'!$B$6:$B$105,A11)&gt;0,"✓","")</f>
        <v/>
      </c>
    </row>
    <row r="12" customFormat="false" ht="15" hidden="false" customHeight="false" outlineLevel="0" collapsed="false">
      <c r="A12" s="15" t="s">
        <v>111</v>
      </c>
      <c r="B12" s="15" t="s">
        <v>27</v>
      </c>
      <c r="C12" s="18" t="s">
        <v>112</v>
      </c>
      <c r="D12" s="18" t="s">
        <v>113</v>
      </c>
      <c r="E12" s="18" t="s">
        <v>114</v>
      </c>
      <c r="F12" s="15" t="s">
        <v>49</v>
      </c>
      <c r="G12" s="15" t="s">
        <v>94</v>
      </c>
      <c r="H12" s="15" t="s">
        <v>89</v>
      </c>
      <c r="I12" s="15" t="n">
        <v>1</v>
      </c>
      <c r="J12" s="15" t="n">
        <v>53</v>
      </c>
      <c r="K12" s="20" t="str">
        <f aca="false">IF(COUNTIF('MEUS PROCESSOS'!$B$6:$B$105,A12)&gt;0,"✓","")</f>
        <v/>
      </c>
    </row>
    <row r="13" customFormat="false" ht="15" hidden="false" customHeight="false" outlineLevel="0" collapsed="false">
      <c r="A13" s="15" t="s">
        <v>115</v>
      </c>
      <c r="B13" s="15" t="s">
        <v>27</v>
      </c>
      <c r="C13" s="18" t="s">
        <v>116</v>
      </c>
      <c r="D13" s="18" t="s">
        <v>117</v>
      </c>
      <c r="E13" s="18" t="s">
        <v>118</v>
      </c>
      <c r="F13" s="15" t="s">
        <v>51</v>
      </c>
      <c r="G13" s="15" t="s">
        <v>89</v>
      </c>
      <c r="H13" s="15" t="s">
        <v>94</v>
      </c>
      <c r="I13" s="15" t="n">
        <v>2</v>
      </c>
      <c r="J13" s="15" t="n">
        <v>54</v>
      </c>
      <c r="K13" s="20" t="str">
        <f aca="false">IF(COUNTIF('MEUS PROCESSOS'!$B$6:$B$105,A13)&gt;0,"✓","")</f>
        <v/>
      </c>
    </row>
    <row r="14" customFormat="false" ht="23.85" hidden="false" customHeight="false" outlineLevel="0" collapsed="false">
      <c r="A14" s="15" t="s">
        <v>119</v>
      </c>
      <c r="B14" s="15" t="s">
        <v>27</v>
      </c>
      <c r="C14" s="18" t="s">
        <v>120</v>
      </c>
      <c r="D14" s="18" t="s">
        <v>121</v>
      </c>
      <c r="E14" s="18" t="s">
        <v>122</v>
      </c>
      <c r="F14" s="15" t="s">
        <v>45</v>
      </c>
      <c r="G14" s="15" t="s">
        <v>94</v>
      </c>
      <c r="H14" s="15" t="s">
        <v>95</v>
      </c>
      <c r="I14" s="15" t="n">
        <v>2</v>
      </c>
      <c r="J14" s="15" t="n">
        <v>54</v>
      </c>
      <c r="K14" s="20" t="str">
        <f aca="false">IF(COUNTIF('MEUS PROCESSOS'!$B$6:$B$105,A14)&gt;0,"✓","")</f>
        <v/>
      </c>
    </row>
    <row r="15" customFormat="false" ht="23.85" hidden="false" customHeight="false" outlineLevel="0" collapsed="false">
      <c r="A15" s="15" t="s">
        <v>123</v>
      </c>
      <c r="B15" s="15" t="s">
        <v>27</v>
      </c>
      <c r="C15" s="18" t="s">
        <v>124</v>
      </c>
      <c r="D15" s="18" t="s">
        <v>125</v>
      </c>
      <c r="E15" s="18" t="s">
        <v>126</v>
      </c>
      <c r="F15" s="15" t="s">
        <v>45</v>
      </c>
      <c r="G15" s="15" t="s">
        <v>89</v>
      </c>
      <c r="H15" s="15" t="s">
        <v>94</v>
      </c>
      <c r="I15" s="15" t="n">
        <v>2</v>
      </c>
      <c r="J15" s="15" t="n">
        <v>55</v>
      </c>
      <c r="K15" s="20" t="str">
        <f aca="false">IF(COUNTIF('MEUS PROCESSOS'!$B$6:$B$105,A15)&gt;0,"✓","")</f>
        <v/>
      </c>
    </row>
    <row r="16" customFormat="false" ht="15" hidden="false" customHeight="false" outlineLevel="0" collapsed="false">
      <c r="A16" s="15" t="s">
        <v>127</v>
      </c>
      <c r="B16" s="15" t="s">
        <v>27</v>
      </c>
      <c r="C16" s="18" t="s">
        <v>128</v>
      </c>
      <c r="D16" s="18" t="s">
        <v>129</v>
      </c>
      <c r="E16" s="18" t="s">
        <v>130</v>
      </c>
      <c r="F16" s="15" t="s">
        <v>49</v>
      </c>
      <c r="G16" s="15" t="s">
        <v>89</v>
      </c>
      <c r="H16" s="15" t="s">
        <v>94</v>
      </c>
      <c r="I16" s="15" t="n">
        <v>2</v>
      </c>
      <c r="J16" s="15" t="n">
        <v>56</v>
      </c>
      <c r="K16" s="20" t="str">
        <f aca="false">IF(COUNTIF('MEUS PROCESSOS'!$B$6:$B$105,A16)&gt;0,"✓","")</f>
        <v/>
      </c>
    </row>
    <row r="17" customFormat="false" ht="15" hidden="false" customHeight="false" outlineLevel="0" collapsed="false">
      <c r="A17" s="15" t="s">
        <v>131</v>
      </c>
      <c r="B17" s="15" t="s">
        <v>27</v>
      </c>
      <c r="C17" s="18" t="s">
        <v>132</v>
      </c>
      <c r="D17" s="18" t="s">
        <v>133</v>
      </c>
      <c r="E17" s="18" t="s">
        <v>130</v>
      </c>
      <c r="F17" s="15" t="s">
        <v>47</v>
      </c>
      <c r="G17" s="15" t="s">
        <v>94</v>
      </c>
      <c r="H17" s="15" t="s">
        <v>95</v>
      </c>
      <c r="I17" s="15" t="n">
        <v>2</v>
      </c>
      <c r="J17" s="15" t="n">
        <v>57</v>
      </c>
      <c r="K17" s="20" t="str">
        <f aca="false">IF(COUNTIF('MEUS PROCESSOS'!$B$6:$B$105,A17)&gt;0,"✓","")</f>
        <v/>
      </c>
    </row>
    <row r="18" customFormat="false" ht="15" hidden="false" customHeight="false" outlineLevel="0" collapsed="false">
      <c r="A18" s="15" t="s">
        <v>134</v>
      </c>
      <c r="B18" s="15" t="s">
        <v>27</v>
      </c>
      <c r="C18" s="18" t="s">
        <v>135</v>
      </c>
      <c r="D18" s="18" t="s">
        <v>136</v>
      </c>
      <c r="E18" s="18" t="s">
        <v>137</v>
      </c>
      <c r="F18" s="15" t="s">
        <v>49</v>
      </c>
      <c r="G18" s="15" t="s">
        <v>94</v>
      </c>
      <c r="H18" s="15" t="s">
        <v>89</v>
      </c>
      <c r="I18" s="15" t="n">
        <v>3</v>
      </c>
      <c r="J18" s="15" t="s">
        <v>138</v>
      </c>
      <c r="K18" s="20" t="str">
        <f aca="false">IF(COUNTIF('MEUS PROCESSOS'!$B$6:$B$105,A18)&gt;0,"✓","")</f>
        <v/>
      </c>
    </row>
    <row r="19" customFormat="false" ht="15" hidden="false" customHeight="false" outlineLevel="0" collapsed="false">
      <c r="A19" s="15" t="s">
        <v>139</v>
      </c>
      <c r="B19" s="15" t="s">
        <v>27</v>
      </c>
      <c r="C19" s="18" t="s">
        <v>140</v>
      </c>
      <c r="D19" s="18" t="s">
        <v>141</v>
      </c>
      <c r="E19" s="18" t="s">
        <v>88</v>
      </c>
      <c r="F19" s="15" t="s">
        <v>51</v>
      </c>
      <c r="G19" s="15" t="s">
        <v>89</v>
      </c>
      <c r="H19" s="15" t="s">
        <v>94</v>
      </c>
      <c r="I19" s="15" t="n">
        <v>3</v>
      </c>
      <c r="J19" s="15" t="s">
        <v>138</v>
      </c>
      <c r="K19" s="20" t="str">
        <f aca="false">IF(COUNTIF('MEUS PROCESSOS'!$B$6:$B$105,A19)&gt;0,"✓","")</f>
        <v/>
      </c>
    </row>
    <row r="20" customFormat="false" ht="23.85" hidden="false" customHeight="false" outlineLevel="0" collapsed="false">
      <c r="A20" s="15" t="s">
        <v>142</v>
      </c>
      <c r="B20" s="15" t="s">
        <v>29</v>
      </c>
      <c r="C20" s="18" t="s">
        <v>143</v>
      </c>
      <c r="D20" s="18" t="s">
        <v>144</v>
      </c>
      <c r="E20" s="18" t="s">
        <v>88</v>
      </c>
      <c r="F20" s="15" t="s">
        <v>49</v>
      </c>
      <c r="G20" s="15" t="s">
        <v>89</v>
      </c>
      <c r="H20" s="15" t="s">
        <v>89</v>
      </c>
      <c r="I20" s="15" t="n">
        <v>3</v>
      </c>
      <c r="J20" s="15" t="n">
        <v>58</v>
      </c>
      <c r="K20" s="20" t="str">
        <f aca="false">IF(COUNTIF('MEUS PROCESSOS'!$B$6:$B$105,A20)&gt;0,"✓","")</f>
        <v/>
      </c>
    </row>
    <row r="21" customFormat="false" ht="15" hidden="false" customHeight="false" outlineLevel="0" collapsed="false">
      <c r="A21" s="15" t="s">
        <v>145</v>
      </c>
      <c r="B21" s="15" t="s">
        <v>29</v>
      </c>
      <c r="C21" s="18" t="s">
        <v>146</v>
      </c>
      <c r="D21" s="18" t="s">
        <v>147</v>
      </c>
      <c r="E21" s="18" t="s">
        <v>114</v>
      </c>
      <c r="F21" s="15" t="s">
        <v>49</v>
      </c>
      <c r="G21" s="15" t="s">
        <v>94</v>
      </c>
      <c r="H21" s="15" t="s">
        <v>89</v>
      </c>
      <c r="I21" s="15" t="n">
        <v>1</v>
      </c>
      <c r="J21" s="15" t="n">
        <v>58</v>
      </c>
      <c r="K21" s="20" t="str">
        <f aca="false">IF(COUNTIF('MEUS PROCESSOS'!$B$6:$B$105,A21)&gt;0,"✓","")</f>
        <v/>
      </c>
    </row>
    <row r="22" customFormat="false" ht="15" hidden="false" customHeight="false" outlineLevel="0" collapsed="false">
      <c r="A22" s="15" t="s">
        <v>148</v>
      </c>
      <c r="B22" s="15" t="s">
        <v>29</v>
      </c>
      <c r="C22" s="18" t="s">
        <v>149</v>
      </c>
      <c r="D22" s="18" t="s">
        <v>150</v>
      </c>
      <c r="E22" s="18" t="s">
        <v>99</v>
      </c>
      <c r="F22" s="15" t="s">
        <v>51</v>
      </c>
      <c r="G22" s="15" t="s">
        <v>89</v>
      </c>
      <c r="H22" s="15" t="s">
        <v>95</v>
      </c>
      <c r="I22" s="15" t="n">
        <v>3</v>
      </c>
      <c r="J22" s="15" t="n">
        <v>58</v>
      </c>
      <c r="K22" s="20" t="str">
        <f aca="false">IF(COUNTIF('MEUS PROCESSOS'!$B$6:$B$105,A22)&gt;0,"✓","")</f>
        <v/>
      </c>
    </row>
    <row r="23" customFormat="false" ht="15" hidden="false" customHeight="false" outlineLevel="0" collapsed="false">
      <c r="A23" s="15" t="s">
        <v>151</v>
      </c>
      <c r="B23" s="15" t="s">
        <v>29</v>
      </c>
      <c r="C23" s="18" t="s">
        <v>152</v>
      </c>
      <c r="D23" s="18" t="s">
        <v>153</v>
      </c>
      <c r="E23" s="18" t="s">
        <v>93</v>
      </c>
      <c r="F23" s="15" t="s">
        <v>51</v>
      </c>
      <c r="G23" s="15" t="s">
        <v>89</v>
      </c>
      <c r="H23" s="15" t="s">
        <v>94</v>
      </c>
      <c r="I23" s="15" t="n">
        <v>1</v>
      </c>
      <c r="J23" s="15" t="n">
        <v>58</v>
      </c>
      <c r="K23" s="20" t="str">
        <f aca="false">IF(COUNTIF('MEUS PROCESSOS'!$B$6:$B$105,A23)&gt;0,"✓","")</f>
        <v/>
      </c>
    </row>
    <row r="24" customFormat="false" ht="23.85" hidden="false" customHeight="false" outlineLevel="0" collapsed="false">
      <c r="A24" s="15" t="s">
        <v>154</v>
      </c>
      <c r="B24" s="15" t="s">
        <v>29</v>
      </c>
      <c r="C24" s="18" t="s">
        <v>155</v>
      </c>
      <c r="D24" s="18" t="s">
        <v>156</v>
      </c>
      <c r="E24" s="18" t="s">
        <v>157</v>
      </c>
      <c r="F24" s="15" t="s">
        <v>49</v>
      </c>
      <c r="G24" s="15" t="s">
        <v>94</v>
      </c>
      <c r="H24" s="15" t="s">
        <v>95</v>
      </c>
      <c r="I24" s="15" t="n">
        <v>2</v>
      </c>
      <c r="J24" s="15" t="n">
        <v>58</v>
      </c>
      <c r="K24" s="20" t="str">
        <f aca="false">IF(COUNTIF('MEUS PROCESSOS'!$B$6:$B$105,A24)&gt;0,"✓","")</f>
        <v/>
      </c>
    </row>
    <row r="25" customFormat="false" ht="15" hidden="false" customHeight="false" outlineLevel="0" collapsed="false">
      <c r="A25" s="15" t="s">
        <v>158</v>
      </c>
      <c r="B25" s="15" t="s">
        <v>29</v>
      </c>
      <c r="C25" s="18" t="s">
        <v>159</v>
      </c>
      <c r="D25" s="18" t="s">
        <v>160</v>
      </c>
      <c r="E25" s="18" t="s">
        <v>99</v>
      </c>
      <c r="F25" s="15" t="s">
        <v>51</v>
      </c>
      <c r="G25" s="15" t="s">
        <v>89</v>
      </c>
      <c r="H25" s="15" t="s">
        <v>94</v>
      </c>
      <c r="I25" s="15" t="n">
        <v>2</v>
      </c>
      <c r="J25" s="15" t="n">
        <v>58</v>
      </c>
      <c r="K25" s="20" t="str">
        <f aca="false">IF(COUNTIF('MEUS PROCESSOS'!$B$6:$B$105,A25)&gt;0,"✓","")</f>
        <v/>
      </c>
    </row>
    <row r="26" customFormat="false" ht="23.85" hidden="false" customHeight="false" outlineLevel="0" collapsed="false">
      <c r="A26" s="15" t="s">
        <v>161</v>
      </c>
      <c r="B26" s="15" t="s">
        <v>29</v>
      </c>
      <c r="C26" s="18" t="s">
        <v>162</v>
      </c>
      <c r="D26" s="18" t="s">
        <v>163</v>
      </c>
      <c r="E26" s="18" t="s">
        <v>157</v>
      </c>
      <c r="F26" s="15" t="s">
        <v>49</v>
      </c>
      <c r="G26" s="15" t="s">
        <v>89</v>
      </c>
      <c r="H26" s="15" t="s">
        <v>95</v>
      </c>
      <c r="I26" s="15" t="n">
        <v>3</v>
      </c>
      <c r="J26" s="15" t="s">
        <v>138</v>
      </c>
      <c r="K26" s="20" t="str">
        <f aca="false">IF(COUNTIF('MEUS PROCESSOS'!$B$6:$B$105,A26)&gt;0,"✓","")</f>
        <v/>
      </c>
    </row>
    <row r="27" customFormat="false" ht="15" hidden="false" customHeight="false" outlineLevel="0" collapsed="false">
      <c r="A27" s="15" t="s">
        <v>164</v>
      </c>
      <c r="B27" s="15" t="s">
        <v>31</v>
      </c>
      <c r="C27" s="18" t="s">
        <v>165</v>
      </c>
      <c r="D27" s="18" t="s">
        <v>166</v>
      </c>
      <c r="E27" s="18" t="s">
        <v>88</v>
      </c>
      <c r="F27" s="15" t="s">
        <v>47</v>
      </c>
      <c r="G27" s="15" t="s">
        <v>89</v>
      </c>
      <c r="H27" s="15" t="s">
        <v>89</v>
      </c>
      <c r="I27" s="15" t="n">
        <v>2</v>
      </c>
      <c r="J27" s="15" t="n">
        <v>59</v>
      </c>
      <c r="K27" s="20" t="str">
        <f aca="false">IF(COUNTIF('MEUS PROCESSOS'!$B$6:$B$105,A27)&gt;0,"✓","")</f>
        <v/>
      </c>
    </row>
    <row r="28" customFormat="false" ht="23.85" hidden="false" customHeight="false" outlineLevel="0" collapsed="false">
      <c r="A28" s="15" t="s">
        <v>167</v>
      </c>
      <c r="B28" s="15" t="s">
        <v>31</v>
      </c>
      <c r="C28" s="18" t="s">
        <v>168</v>
      </c>
      <c r="D28" s="18" t="s">
        <v>169</v>
      </c>
      <c r="E28" s="18" t="s">
        <v>157</v>
      </c>
      <c r="F28" s="15" t="s">
        <v>51</v>
      </c>
      <c r="G28" s="15" t="s">
        <v>89</v>
      </c>
      <c r="H28" s="15" t="s">
        <v>94</v>
      </c>
      <c r="I28" s="15" t="n">
        <v>2</v>
      </c>
      <c r="J28" s="15" t="n">
        <v>59</v>
      </c>
      <c r="K28" s="20" t="str">
        <f aca="false">IF(COUNTIF('MEUS PROCESSOS'!$B$6:$B$105,A28)&gt;0,"✓","")</f>
        <v/>
      </c>
    </row>
    <row r="29" customFormat="false" ht="15" hidden="false" customHeight="false" outlineLevel="0" collapsed="false">
      <c r="A29" s="15" t="s">
        <v>170</v>
      </c>
      <c r="B29" s="15" t="s">
        <v>31</v>
      </c>
      <c r="C29" s="18" t="s">
        <v>171</v>
      </c>
      <c r="D29" s="18" t="s">
        <v>172</v>
      </c>
      <c r="E29" s="18" t="s">
        <v>106</v>
      </c>
      <c r="F29" s="15" t="s">
        <v>49</v>
      </c>
      <c r="G29" s="15" t="s">
        <v>89</v>
      </c>
      <c r="H29" s="15" t="s">
        <v>94</v>
      </c>
      <c r="I29" s="15" t="n">
        <v>2</v>
      </c>
      <c r="J29" s="15" t="n">
        <v>59</v>
      </c>
      <c r="K29" s="20" t="str">
        <f aca="false">IF(COUNTIF('MEUS PROCESSOS'!$B$6:$B$105,A29)&gt;0,"✓","")</f>
        <v/>
      </c>
    </row>
    <row r="30" customFormat="false" ht="15" hidden="false" customHeight="false" outlineLevel="0" collapsed="false">
      <c r="A30" s="15" t="s">
        <v>173</v>
      </c>
      <c r="B30" s="15" t="s">
        <v>31</v>
      </c>
      <c r="C30" s="18" t="s">
        <v>174</v>
      </c>
      <c r="D30" s="18" t="s">
        <v>175</v>
      </c>
      <c r="E30" s="18" t="s">
        <v>137</v>
      </c>
      <c r="F30" s="15" t="s">
        <v>52</v>
      </c>
      <c r="G30" s="15" t="s">
        <v>94</v>
      </c>
      <c r="H30" s="15" t="s">
        <v>89</v>
      </c>
      <c r="I30" s="15" t="n">
        <v>2</v>
      </c>
      <c r="J30" s="15" t="n">
        <v>59</v>
      </c>
      <c r="K30" s="20" t="str">
        <f aca="false">IF(COUNTIF('MEUS PROCESSOS'!$B$6:$B$105,A30)&gt;0,"✓","")</f>
        <v/>
      </c>
    </row>
    <row r="31" customFormat="false" ht="15" hidden="false" customHeight="false" outlineLevel="0" collapsed="false">
      <c r="A31" s="15" t="s">
        <v>176</v>
      </c>
      <c r="B31" s="15" t="s">
        <v>31</v>
      </c>
      <c r="C31" s="18" t="s">
        <v>177</v>
      </c>
      <c r="D31" s="18" t="s">
        <v>178</v>
      </c>
      <c r="E31" s="18" t="s">
        <v>114</v>
      </c>
      <c r="F31" s="15" t="s">
        <v>49</v>
      </c>
      <c r="G31" s="15" t="s">
        <v>95</v>
      </c>
      <c r="H31" s="15" t="s">
        <v>89</v>
      </c>
      <c r="I31" s="15" t="n">
        <v>1</v>
      </c>
      <c r="J31" s="15" t="n">
        <v>59</v>
      </c>
      <c r="K31" s="20" t="str">
        <f aca="false">IF(COUNTIF('MEUS PROCESSOS'!$B$6:$B$105,A31)&gt;0,"✓","")</f>
        <v/>
      </c>
    </row>
    <row r="32" customFormat="false" ht="23.85" hidden="false" customHeight="false" outlineLevel="0" collapsed="false">
      <c r="A32" s="15" t="s">
        <v>179</v>
      </c>
      <c r="B32" s="15" t="s">
        <v>31</v>
      </c>
      <c r="C32" s="18" t="s">
        <v>180</v>
      </c>
      <c r="D32" s="18" t="s">
        <v>181</v>
      </c>
      <c r="E32" s="18" t="s">
        <v>93</v>
      </c>
      <c r="F32" s="15" t="s">
        <v>51</v>
      </c>
      <c r="G32" s="15" t="s">
        <v>89</v>
      </c>
      <c r="H32" s="15" t="s">
        <v>94</v>
      </c>
      <c r="I32" s="15" t="n">
        <v>1</v>
      </c>
      <c r="J32" s="15" t="n">
        <v>59</v>
      </c>
      <c r="K32" s="20" t="str">
        <f aca="false">IF(COUNTIF('MEUS PROCESSOS'!$B$6:$B$105,A32)&gt;0,"✓","")</f>
        <v/>
      </c>
    </row>
    <row r="33" customFormat="false" ht="15" hidden="false" customHeight="false" outlineLevel="0" collapsed="false">
      <c r="A33" s="15" t="s">
        <v>182</v>
      </c>
      <c r="B33" s="15" t="s">
        <v>31</v>
      </c>
      <c r="C33" s="18" t="s">
        <v>183</v>
      </c>
      <c r="D33" s="18" t="s">
        <v>184</v>
      </c>
      <c r="E33" s="18" t="s">
        <v>110</v>
      </c>
      <c r="F33" s="15" t="s">
        <v>49</v>
      </c>
      <c r="G33" s="15" t="s">
        <v>89</v>
      </c>
      <c r="H33" s="15" t="s">
        <v>89</v>
      </c>
      <c r="I33" s="15" t="n">
        <v>2</v>
      </c>
      <c r="J33" s="15" t="s">
        <v>138</v>
      </c>
      <c r="K33" s="20" t="str">
        <f aca="false">IF(COUNTIF('MEUS PROCESSOS'!$B$6:$B$105,A33)&gt;0,"✓","")</f>
        <v/>
      </c>
    </row>
    <row r="34" customFormat="false" ht="15" hidden="false" customHeight="false" outlineLevel="0" collapsed="false">
      <c r="A34" s="15" t="s">
        <v>185</v>
      </c>
      <c r="B34" s="15" t="s">
        <v>33</v>
      </c>
      <c r="C34" s="18" t="s">
        <v>186</v>
      </c>
      <c r="D34" s="18" t="s">
        <v>187</v>
      </c>
      <c r="E34" s="18" t="s">
        <v>106</v>
      </c>
      <c r="F34" s="15" t="s">
        <v>49</v>
      </c>
      <c r="G34" s="15" t="s">
        <v>94</v>
      </c>
      <c r="H34" s="15" t="s">
        <v>89</v>
      </c>
      <c r="I34" s="15" t="n">
        <v>4</v>
      </c>
      <c r="J34" s="15" t="n">
        <v>60</v>
      </c>
      <c r="K34" s="20" t="str">
        <f aca="false">IF(COUNTIF('MEUS PROCESSOS'!$B$6:$B$105,A34)&gt;0,"✓","")</f>
        <v/>
      </c>
    </row>
    <row r="35" customFormat="false" ht="15" hidden="false" customHeight="false" outlineLevel="0" collapsed="false">
      <c r="A35" s="15" t="s">
        <v>188</v>
      </c>
      <c r="B35" s="15" t="s">
        <v>33</v>
      </c>
      <c r="C35" s="18" t="s">
        <v>189</v>
      </c>
      <c r="D35" s="18" t="s">
        <v>190</v>
      </c>
      <c r="E35" s="18" t="s">
        <v>114</v>
      </c>
      <c r="F35" s="15" t="s">
        <v>51</v>
      </c>
      <c r="G35" s="15" t="s">
        <v>89</v>
      </c>
      <c r="H35" s="15" t="s">
        <v>89</v>
      </c>
      <c r="I35" s="15" t="n">
        <v>3</v>
      </c>
      <c r="J35" s="15" t="n">
        <v>60</v>
      </c>
      <c r="K35" s="20" t="str">
        <f aca="false">IF(COUNTIF('MEUS PROCESSOS'!$B$6:$B$105,A35)&gt;0,"✓","")</f>
        <v/>
      </c>
    </row>
    <row r="36" customFormat="false" ht="15" hidden="false" customHeight="false" outlineLevel="0" collapsed="false">
      <c r="A36" s="15" t="s">
        <v>191</v>
      </c>
      <c r="B36" s="15" t="s">
        <v>33</v>
      </c>
      <c r="C36" s="18" t="s">
        <v>192</v>
      </c>
      <c r="D36" s="18" t="s">
        <v>193</v>
      </c>
      <c r="E36" s="18" t="s">
        <v>137</v>
      </c>
      <c r="F36" s="15" t="s">
        <v>52</v>
      </c>
      <c r="G36" s="15" t="s">
        <v>95</v>
      </c>
      <c r="H36" s="15" t="s">
        <v>89</v>
      </c>
      <c r="I36" s="15" t="n">
        <v>2</v>
      </c>
      <c r="J36" s="15" t="n">
        <v>60</v>
      </c>
      <c r="K36" s="20" t="str">
        <f aca="false">IF(COUNTIF('MEUS PROCESSOS'!$B$6:$B$105,A36)&gt;0,"✓","")</f>
        <v/>
      </c>
    </row>
    <row r="37" customFormat="false" ht="15" hidden="false" customHeight="false" outlineLevel="0" collapsed="false">
      <c r="A37" s="15" t="s">
        <v>194</v>
      </c>
      <c r="B37" s="15" t="s">
        <v>33</v>
      </c>
      <c r="C37" s="18" t="s">
        <v>195</v>
      </c>
      <c r="D37" s="18" t="s">
        <v>196</v>
      </c>
      <c r="E37" s="18" t="s">
        <v>114</v>
      </c>
      <c r="F37" s="15" t="s">
        <v>52</v>
      </c>
      <c r="G37" s="15" t="s">
        <v>95</v>
      </c>
      <c r="H37" s="15" t="s">
        <v>89</v>
      </c>
      <c r="I37" s="15" t="n">
        <v>4</v>
      </c>
      <c r="J37" s="15" t="n">
        <v>60</v>
      </c>
      <c r="K37" s="20" t="str">
        <f aca="false">IF(COUNTIF('MEUS PROCESSOS'!$B$6:$B$105,A37)&gt;0,"✓","")</f>
        <v/>
      </c>
    </row>
    <row r="38" customFormat="false" ht="15" hidden="false" customHeight="false" outlineLevel="0" collapsed="false">
      <c r="A38" s="15" t="s">
        <v>197</v>
      </c>
      <c r="B38" s="15" t="s">
        <v>33</v>
      </c>
      <c r="C38" s="18" t="s">
        <v>198</v>
      </c>
      <c r="D38" s="18" t="s">
        <v>199</v>
      </c>
      <c r="E38" s="18" t="s">
        <v>93</v>
      </c>
      <c r="F38" s="15" t="s">
        <v>51</v>
      </c>
      <c r="G38" s="15" t="s">
        <v>89</v>
      </c>
      <c r="H38" s="15" t="s">
        <v>95</v>
      </c>
      <c r="I38" s="15" t="n">
        <v>4</v>
      </c>
      <c r="J38" s="15" t="n">
        <v>60</v>
      </c>
      <c r="K38" s="20" t="str">
        <f aca="false">IF(COUNTIF('MEUS PROCESSOS'!$B$6:$B$105,A38)&gt;0,"✓","")</f>
        <v/>
      </c>
    </row>
    <row r="39" customFormat="false" ht="15" hidden="false" customHeight="false" outlineLevel="0" collapsed="false">
      <c r="A39" s="15" t="s">
        <v>200</v>
      </c>
      <c r="B39" s="15" t="s">
        <v>35</v>
      </c>
      <c r="C39" s="18" t="s">
        <v>201</v>
      </c>
      <c r="D39" s="18" t="s">
        <v>202</v>
      </c>
      <c r="E39" s="18" t="s">
        <v>137</v>
      </c>
      <c r="F39" s="15" t="s">
        <v>49</v>
      </c>
      <c r="G39" s="15" t="s">
        <v>95</v>
      </c>
      <c r="H39" s="15" t="s">
        <v>89</v>
      </c>
      <c r="I39" s="15" t="n">
        <v>1</v>
      </c>
      <c r="J39" s="15" t="n">
        <v>61</v>
      </c>
      <c r="K39" s="20" t="str">
        <f aca="false">IF(COUNTIF('MEUS PROCESSOS'!$B$6:$B$105,A39)&gt;0,"✓","")</f>
        <v/>
      </c>
    </row>
    <row r="40" customFormat="false" ht="15" hidden="false" customHeight="false" outlineLevel="0" collapsed="false">
      <c r="A40" s="15" t="s">
        <v>203</v>
      </c>
      <c r="B40" s="15" t="s">
        <v>35</v>
      </c>
      <c r="C40" s="18" t="s">
        <v>204</v>
      </c>
      <c r="D40" s="18" t="s">
        <v>205</v>
      </c>
      <c r="E40" s="18" t="s">
        <v>93</v>
      </c>
      <c r="F40" s="15" t="s">
        <v>49</v>
      </c>
      <c r="G40" s="15" t="s">
        <v>89</v>
      </c>
      <c r="H40" s="15" t="s">
        <v>95</v>
      </c>
      <c r="I40" s="15" t="n">
        <v>3</v>
      </c>
      <c r="J40" s="15" t="n">
        <v>61</v>
      </c>
      <c r="K40" s="20" t="str">
        <f aca="false">IF(COUNTIF('MEUS PROCESSOS'!$B$6:$B$105,A40)&gt;0,"✓","")</f>
        <v/>
      </c>
    </row>
    <row r="41" customFormat="false" ht="15" hidden="false" customHeight="false" outlineLevel="0" collapsed="false">
      <c r="A41" s="15" t="s">
        <v>206</v>
      </c>
      <c r="B41" s="15" t="s">
        <v>35</v>
      </c>
      <c r="C41" s="18" t="s">
        <v>207</v>
      </c>
      <c r="D41" s="18" t="s">
        <v>208</v>
      </c>
      <c r="E41" s="18" t="s">
        <v>106</v>
      </c>
      <c r="F41" s="15" t="s">
        <v>49</v>
      </c>
      <c r="G41" s="15" t="s">
        <v>94</v>
      </c>
      <c r="H41" s="15" t="s">
        <v>89</v>
      </c>
      <c r="I41" s="15" t="n">
        <v>3</v>
      </c>
      <c r="J41" s="15" t="n">
        <v>61</v>
      </c>
      <c r="K41" s="20" t="str">
        <f aca="false">IF(COUNTIF('MEUS PROCESSOS'!$B$6:$B$105,A41)&gt;0,"✓","")</f>
        <v/>
      </c>
    </row>
    <row r="42" customFormat="false" ht="23.85" hidden="false" customHeight="false" outlineLevel="0" collapsed="false">
      <c r="A42" s="15" t="s">
        <v>209</v>
      </c>
      <c r="B42" s="15" t="s">
        <v>35</v>
      </c>
      <c r="C42" s="18" t="s">
        <v>210</v>
      </c>
      <c r="D42" s="18" t="s">
        <v>211</v>
      </c>
      <c r="E42" s="18" t="s">
        <v>137</v>
      </c>
      <c r="F42" s="15" t="s">
        <v>52</v>
      </c>
      <c r="G42" s="15" t="s">
        <v>95</v>
      </c>
      <c r="H42" s="15" t="s">
        <v>89</v>
      </c>
      <c r="I42" s="15" t="n">
        <v>2</v>
      </c>
      <c r="J42" s="15" t="n">
        <v>61</v>
      </c>
      <c r="K42" s="20" t="str">
        <f aca="false">IF(COUNTIF('MEUS PROCESSOS'!$B$6:$B$105,A42)&gt;0,"✓","")</f>
        <v/>
      </c>
    </row>
    <row r="43" customFormat="false" ht="23.85" hidden="false" customHeight="false" outlineLevel="0" collapsed="false">
      <c r="A43" s="15" t="s">
        <v>212</v>
      </c>
      <c r="B43" s="15" t="s">
        <v>35</v>
      </c>
      <c r="C43" s="18" t="s">
        <v>213</v>
      </c>
      <c r="D43" s="18" t="s">
        <v>214</v>
      </c>
      <c r="E43" s="18" t="s">
        <v>157</v>
      </c>
      <c r="F43" s="15" t="s">
        <v>47</v>
      </c>
      <c r="G43" s="15" t="s">
        <v>89</v>
      </c>
      <c r="H43" s="15" t="s">
        <v>95</v>
      </c>
      <c r="I43" s="15" t="n">
        <v>3</v>
      </c>
      <c r="J43" s="15" t="n">
        <v>62</v>
      </c>
      <c r="K43" s="20" t="str">
        <f aca="false">IF(COUNTIF('MEUS PROCESSOS'!$B$6:$B$105,A43)&gt;0,"✓","")</f>
        <v/>
      </c>
    </row>
    <row r="44" customFormat="false" ht="15" hidden="false" customHeight="false" outlineLevel="0" collapsed="false">
      <c r="A44" s="15" t="s">
        <v>215</v>
      </c>
      <c r="B44" s="15" t="s">
        <v>35</v>
      </c>
      <c r="C44" s="18" t="s">
        <v>216</v>
      </c>
      <c r="D44" s="18" t="s">
        <v>217</v>
      </c>
      <c r="E44" s="18" t="s">
        <v>130</v>
      </c>
      <c r="F44" s="15" t="s">
        <v>49</v>
      </c>
      <c r="G44" s="15" t="s">
        <v>94</v>
      </c>
      <c r="H44" s="15" t="s">
        <v>94</v>
      </c>
      <c r="I44" s="15" t="n">
        <v>2</v>
      </c>
      <c r="J44" s="15" t="s">
        <v>138</v>
      </c>
      <c r="K44" s="20" t="str">
        <f aca="false">IF(COUNTIF('MEUS PROCESSOS'!$B$6:$B$105,A44)&gt;0,"✓","")</f>
        <v/>
      </c>
    </row>
    <row r="45" customFormat="false" ht="23.85" hidden="false" customHeight="false" outlineLevel="0" collapsed="false">
      <c r="A45" s="15" t="s">
        <v>218</v>
      </c>
      <c r="B45" s="15" t="s">
        <v>37</v>
      </c>
      <c r="C45" s="18" t="s">
        <v>219</v>
      </c>
      <c r="D45" s="18" t="s">
        <v>220</v>
      </c>
      <c r="E45" s="18" t="s">
        <v>93</v>
      </c>
      <c r="F45" s="15" t="s">
        <v>49</v>
      </c>
      <c r="G45" s="15" t="s">
        <v>89</v>
      </c>
      <c r="H45" s="15" t="s">
        <v>95</v>
      </c>
      <c r="I45" s="15" t="n">
        <v>2</v>
      </c>
      <c r="J45" s="15" t="n">
        <v>62</v>
      </c>
      <c r="K45" s="20" t="str">
        <f aca="false">IF(COUNTIF('MEUS PROCESSOS'!$B$6:$B$105,A45)&gt;0,"✓","")</f>
        <v/>
      </c>
    </row>
    <row r="46" customFormat="false" ht="23.85" hidden="false" customHeight="false" outlineLevel="0" collapsed="false">
      <c r="A46" s="15" t="s">
        <v>221</v>
      </c>
      <c r="B46" s="15" t="s">
        <v>37</v>
      </c>
      <c r="C46" s="18" t="s">
        <v>222</v>
      </c>
      <c r="D46" s="18" t="s">
        <v>223</v>
      </c>
      <c r="E46" s="18" t="s">
        <v>118</v>
      </c>
      <c r="F46" s="15" t="s">
        <v>49</v>
      </c>
      <c r="G46" s="15" t="s">
        <v>94</v>
      </c>
      <c r="H46" s="15" t="s">
        <v>89</v>
      </c>
      <c r="I46" s="15" t="n">
        <v>2</v>
      </c>
      <c r="J46" s="15" t="n">
        <v>62</v>
      </c>
      <c r="K46" s="20" t="str">
        <f aca="false">IF(COUNTIF('MEUS PROCESSOS'!$B$6:$B$105,A46)&gt;0,"✓","")</f>
        <v/>
      </c>
    </row>
    <row r="47" customFormat="false" ht="23.85" hidden="false" customHeight="false" outlineLevel="0" collapsed="false">
      <c r="A47" s="15" t="s">
        <v>224</v>
      </c>
      <c r="B47" s="15" t="s">
        <v>37</v>
      </c>
      <c r="C47" s="18" t="s">
        <v>225</v>
      </c>
      <c r="D47" s="18" t="s">
        <v>226</v>
      </c>
      <c r="E47" s="18" t="s">
        <v>118</v>
      </c>
      <c r="F47" s="15" t="s">
        <v>51</v>
      </c>
      <c r="G47" s="15" t="s">
        <v>89</v>
      </c>
      <c r="H47" s="15" t="s">
        <v>95</v>
      </c>
      <c r="I47" s="15" t="n">
        <v>3</v>
      </c>
      <c r="J47" s="15" t="n">
        <v>62</v>
      </c>
      <c r="K47" s="20" t="str">
        <f aca="false">IF(COUNTIF('MEUS PROCESSOS'!$B$6:$B$105,A47)&gt;0,"✓","")</f>
        <v/>
      </c>
    </row>
    <row r="48" customFormat="false" ht="23.85" hidden="false" customHeight="false" outlineLevel="0" collapsed="false">
      <c r="A48" s="15" t="s">
        <v>227</v>
      </c>
      <c r="B48" s="15" t="s">
        <v>37</v>
      </c>
      <c r="C48" s="18" t="s">
        <v>228</v>
      </c>
      <c r="D48" s="18" t="s">
        <v>229</v>
      </c>
      <c r="E48" s="18" t="s">
        <v>157</v>
      </c>
      <c r="F48" s="15" t="s">
        <v>49</v>
      </c>
      <c r="G48" s="15" t="s">
        <v>89</v>
      </c>
      <c r="H48" s="15" t="s">
        <v>95</v>
      </c>
      <c r="I48" s="15" t="n">
        <v>3</v>
      </c>
      <c r="J48" s="15" t="n">
        <v>62</v>
      </c>
      <c r="K48" s="20" t="str">
        <f aca="false">IF(COUNTIF('MEUS PROCESSOS'!$B$6:$B$105,A48)&gt;0,"✓","")</f>
        <v/>
      </c>
    </row>
    <row r="49" customFormat="false" ht="15" hidden="false" customHeight="false" outlineLevel="0" collapsed="false">
      <c r="A49" s="15" t="s">
        <v>230</v>
      </c>
      <c r="B49" s="15" t="s">
        <v>37</v>
      </c>
      <c r="C49" s="18" t="s">
        <v>231</v>
      </c>
      <c r="D49" s="18" t="s">
        <v>232</v>
      </c>
      <c r="E49" s="18" t="s">
        <v>99</v>
      </c>
      <c r="F49" s="15" t="s">
        <v>51</v>
      </c>
      <c r="G49" s="15" t="s">
        <v>89</v>
      </c>
      <c r="H49" s="15" t="s">
        <v>94</v>
      </c>
      <c r="I49" s="15" t="n">
        <v>3</v>
      </c>
      <c r="J49" s="15" t="s">
        <v>138</v>
      </c>
      <c r="K49" s="20" t="str">
        <f aca="false">IF(COUNTIF('MEUS PROCESSOS'!$B$6:$B$105,A49)&gt;0,"✓","")</f>
        <v/>
      </c>
    </row>
    <row r="50" customFormat="false" ht="15" hidden="false" customHeight="false" outlineLevel="0" collapsed="false">
      <c r="A50" s="15" t="s">
        <v>233</v>
      </c>
      <c r="B50" s="15" t="s">
        <v>39</v>
      </c>
      <c r="C50" s="18" t="s">
        <v>234</v>
      </c>
      <c r="D50" s="18" t="s">
        <v>235</v>
      </c>
      <c r="E50" s="18" t="s">
        <v>137</v>
      </c>
      <c r="F50" s="15" t="s">
        <v>51</v>
      </c>
      <c r="G50" s="15" t="s">
        <v>94</v>
      </c>
      <c r="H50" s="15" t="s">
        <v>89</v>
      </c>
      <c r="I50" s="15" t="n">
        <v>2</v>
      </c>
      <c r="J50" s="15" t="n">
        <v>63</v>
      </c>
      <c r="K50" s="20" t="str">
        <f aca="false">IF(COUNTIF('MEUS PROCESSOS'!$B$6:$B$105,A50)&gt;0,"✓","")</f>
        <v/>
      </c>
    </row>
    <row r="51" customFormat="false" ht="15" hidden="false" customHeight="false" outlineLevel="0" collapsed="false">
      <c r="A51" s="15" t="s">
        <v>236</v>
      </c>
      <c r="B51" s="15" t="s">
        <v>39</v>
      </c>
      <c r="C51" s="18" t="s">
        <v>237</v>
      </c>
      <c r="D51" s="18" t="s">
        <v>238</v>
      </c>
      <c r="E51" s="18" t="s">
        <v>137</v>
      </c>
      <c r="F51" s="15" t="s">
        <v>49</v>
      </c>
      <c r="G51" s="15" t="s">
        <v>89</v>
      </c>
      <c r="H51" s="15" t="s">
        <v>89</v>
      </c>
      <c r="I51" s="15" t="n">
        <v>2</v>
      </c>
      <c r="J51" s="15" t="n">
        <v>63</v>
      </c>
      <c r="K51" s="20" t="str">
        <f aca="false">IF(COUNTIF('MEUS PROCESSOS'!$B$6:$B$105,A51)&gt;0,"✓","")</f>
        <v/>
      </c>
    </row>
    <row r="52" customFormat="false" ht="15" hidden="false" customHeight="false" outlineLevel="0" collapsed="false">
      <c r="A52" s="15" t="s">
        <v>239</v>
      </c>
      <c r="B52" s="15" t="s">
        <v>39</v>
      </c>
      <c r="C52" s="18" t="s">
        <v>240</v>
      </c>
      <c r="D52" s="18" t="s">
        <v>241</v>
      </c>
      <c r="E52" s="18" t="s">
        <v>122</v>
      </c>
      <c r="F52" s="15" t="s">
        <v>49</v>
      </c>
      <c r="G52" s="15" t="s">
        <v>89</v>
      </c>
      <c r="H52" s="15" t="s">
        <v>95</v>
      </c>
      <c r="I52" s="15" t="n">
        <v>3</v>
      </c>
      <c r="J52" s="15" t="n">
        <v>64</v>
      </c>
      <c r="K52" s="20" t="str">
        <f aca="false">IF(COUNTIF('MEUS PROCESSOS'!$B$6:$B$105,A52)&gt;0,"✓","")</f>
        <v/>
      </c>
    </row>
    <row r="53" customFormat="false" ht="15" hidden="false" customHeight="false" outlineLevel="0" collapsed="false">
      <c r="A53" s="15" t="s">
        <v>242</v>
      </c>
      <c r="B53" s="15" t="s">
        <v>39</v>
      </c>
      <c r="C53" s="18" t="s">
        <v>243</v>
      </c>
      <c r="D53" s="18" t="s">
        <v>244</v>
      </c>
      <c r="E53" s="18" t="s">
        <v>126</v>
      </c>
      <c r="F53" s="15" t="s">
        <v>45</v>
      </c>
      <c r="G53" s="15" t="s">
        <v>89</v>
      </c>
      <c r="H53" s="15" t="s">
        <v>94</v>
      </c>
      <c r="I53" s="15" t="n">
        <v>2</v>
      </c>
      <c r="J53" s="15" t="n">
        <v>64</v>
      </c>
      <c r="K53" s="20" t="str">
        <f aca="false">IF(COUNTIF('MEUS PROCESSOS'!$B$6:$B$105,A53)&gt;0,"✓","")</f>
        <v/>
      </c>
    </row>
    <row r="54" customFormat="false" ht="23.85" hidden="false" customHeight="false" outlineLevel="0" collapsed="false">
      <c r="A54" s="15" t="s">
        <v>245</v>
      </c>
      <c r="B54" s="15" t="s">
        <v>39</v>
      </c>
      <c r="C54" s="18" t="s">
        <v>246</v>
      </c>
      <c r="D54" s="18" t="s">
        <v>247</v>
      </c>
      <c r="E54" s="18" t="s">
        <v>157</v>
      </c>
      <c r="F54" s="15" t="s">
        <v>49</v>
      </c>
      <c r="G54" s="15" t="s">
        <v>95</v>
      </c>
      <c r="H54" s="15" t="s">
        <v>89</v>
      </c>
      <c r="I54" s="15" t="n">
        <v>2</v>
      </c>
      <c r="J54" s="15" t="n">
        <v>64</v>
      </c>
      <c r="K54" s="20" t="str">
        <f aca="false">IF(COUNTIF('MEUS PROCESSOS'!$B$6:$B$105,A54)&gt;0,"✓","")</f>
        <v/>
      </c>
    </row>
    <row r="55" customFormat="false" ht="23.85" hidden="false" customHeight="false" outlineLevel="0" collapsed="false">
      <c r="A55" s="15" t="s">
        <v>248</v>
      </c>
      <c r="B55" s="15" t="s">
        <v>39</v>
      </c>
      <c r="C55" s="18" t="s">
        <v>249</v>
      </c>
      <c r="D55" s="18" t="s">
        <v>250</v>
      </c>
      <c r="E55" s="18" t="s">
        <v>137</v>
      </c>
      <c r="F55" s="15" t="s">
        <v>49</v>
      </c>
      <c r="G55" s="15" t="s">
        <v>94</v>
      </c>
      <c r="H55" s="15" t="s">
        <v>89</v>
      </c>
      <c r="I55" s="15" t="n">
        <v>2</v>
      </c>
      <c r="J55" s="15" t="s">
        <v>138</v>
      </c>
      <c r="K55" s="20" t="str">
        <f aca="false">IF(COUNTIF('MEUS PROCESSOS'!$B$6:$B$105,A55)&gt;0,"✓","")</f>
        <v/>
      </c>
    </row>
  </sheetData>
  <sheetProtection sheet="true" formatColumns="false" formatRows="false" sort="false" autoFilter="false"/>
  <autoFilter ref="A5:K5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E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16"/>
    <col collapsed="false" customWidth="true" hidden="false" outlineLevel="0" max="4" min="4" style="0" width="8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9"/>
    <col collapsed="false" customWidth="true" hidden="false" outlineLevel="0" max="8" min="8" style="0" width="8"/>
    <col collapsed="false" customWidth="true" hidden="false" outlineLevel="0" max="10" min="9" style="0" width="9"/>
    <col collapsed="false" customWidth="true" hidden="false" outlineLevel="0" max="11" min="11" style="0" width="8"/>
    <col collapsed="false" customWidth="true" hidden="false" outlineLevel="0" max="12" min="12" style="0" width="9"/>
    <col collapsed="false" customWidth="true" hidden="false" outlineLevel="0" max="13" min="13" style="0" width="8"/>
    <col collapsed="false" customWidth="true" hidden="false" outlineLevel="0" max="15" min="14" style="0" width="9"/>
    <col collapsed="false" customWidth="true" hidden="false" outlineLevel="0" max="16" min="16" style="0" width="8"/>
    <col collapsed="false" customWidth="true" hidden="false" outlineLevel="0" max="17" min="17" style="0" width="9"/>
    <col collapsed="false" customWidth="true" hidden="false" outlineLevel="0" max="18" min="18" style="0" width="11"/>
    <col collapsed="false" customWidth="true" hidden="false" outlineLevel="0" max="21" min="19" style="0" width="10"/>
    <col collapsed="false" customWidth="true" hidden="false" outlineLevel="0" max="22" min="22" style="0" width="12"/>
    <col collapsed="false" customWidth="true" hidden="false" outlineLevel="0" max="33" min="23" style="0" width="7"/>
    <col collapsed="false" customWidth="true" hidden="false" outlineLevel="0" max="34" min="34" style="0" width="14"/>
    <col collapsed="false" customWidth="true" hidden="false" outlineLevel="0" max="35" min="35" style="0" width="22"/>
    <col collapsed="false" customWidth="true" hidden="false" outlineLevel="0" max="39" min="36" style="0" width="7"/>
    <col collapsed="false" customWidth="true" hidden="false" outlineLevel="0" max="40" min="40" style="0" width="8"/>
    <col collapsed="false" customWidth="true" hidden="false" outlineLevel="0" max="41" min="41" style="0" width="14"/>
    <col collapsed="false" customWidth="true" hidden="false" outlineLevel="0" max="42" min="42" style="0" width="7"/>
    <col collapsed="false" customWidth="true" hidden="false" outlineLevel="0" max="44" min="43" style="0" width="6"/>
    <col collapsed="false" customWidth="true" hidden="false" outlineLevel="0" max="45" min="45" style="0" width="15"/>
    <col collapsed="false" customWidth="true" hidden="false" outlineLevel="0" max="46" min="46" style="0" width="8"/>
    <col collapsed="false" customWidth="true" hidden="false" outlineLevel="0" max="47" min="47" style="0" width="7"/>
    <col collapsed="false" customWidth="true" hidden="false" outlineLevel="0" max="48" min="48" style="0" width="8"/>
    <col collapsed="false" customWidth="true" hidden="false" outlineLevel="0" max="49" min="49" style="0" width="7"/>
    <col collapsed="false" customWidth="true" hidden="false" outlineLevel="0" max="50" min="50" style="0" width="9"/>
    <col collapsed="false" customWidth="true" hidden="false" outlineLevel="0" max="51" min="51" style="0" width="8"/>
    <col collapsed="false" customWidth="true" hidden="false" outlineLevel="0" max="54" min="52" style="0" width="11"/>
    <col collapsed="false" customWidth="true" hidden="false" outlineLevel="0" max="55" min="55" style="0" width="9"/>
    <col collapsed="false" customWidth="true" hidden="false" outlineLevel="0" max="56" min="56" style="0" width="26"/>
    <col collapsed="false" customWidth="true" hidden="false" outlineLevel="0" max="57" min="57" style="0" width="8"/>
  </cols>
  <sheetData>
    <row r="1" customFormat="false" ht="19.7" hidden="false" customHeight="false" outlineLevel="0" collapsed="false">
      <c r="A1" s="12" t="s">
        <v>251</v>
      </c>
    </row>
    <row r="2" customFormat="false" ht="15" hidden="false" customHeight="false" outlineLevel="0" collapsed="false">
      <c r="A2" s="2" t="s">
        <v>252</v>
      </c>
    </row>
    <row r="4" customFormat="false" ht="15" hidden="false" customHeight="false" outlineLevel="0" collapsed="false">
      <c r="E4" s="13" t="s">
        <v>253</v>
      </c>
      <c r="F4" s="13"/>
      <c r="G4" s="13"/>
      <c r="H4" s="13"/>
      <c r="I4" s="13"/>
      <c r="J4" s="13"/>
      <c r="K4" s="13"/>
      <c r="L4" s="13"/>
      <c r="M4" s="13"/>
      <c r="N4" s="13"/>
      <c r="O4" s="13" t="s">
        <v>254</v>
      </c>
      <c r="P4" s="13"/>
      <c r="Q4" s="13"/>
      <c r="R4" s="13"/>
      <c r="S4" s="13"/>
      <c r="T4" s="13"/>
      <c r="U4" s="13"/>
      <c r="V4" s="13"/>
      <c r="W4" s="13"/>
      <c r="X4" s="13" t="s">
        <v>255</v>
      </c>
      <c r="Y4" s="13"/>
      <c r="Z4" s="13"/>
      <c r="AA4" s="13"/>
      <c r="AB4" s="13"/>
      <c r="AC4" s="13"/>
      <c r="AD4" s="13"/>
      <c r="AE4" s="13"/>
      <c r="AF4" s="13" t="s">
        <v>256</v>
      </c>
      <c r="AG4" s="13"/>
      <c r="AH4" s="13"/>
      <c r="AI4" s="13"/>
      <c r="AJ4" s="13" t="s">
        <v>257</v>
      </c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 t="s">
        <v>258</v>
      </c>
      <c r="AW4" s="13"/>
      <c r="AX4" s="13"/>
      <c r="AY4" s="13"/>
      <c r="AZ4" s="13"/>
      <c r="BA4" s="13"/>
      <c r="BB4" s="13"/>
      <c r="BC4" s="13"/>
      <c r="BD4" s="13"/>
      <c r="BE4" s="21"/>
    </row>
    <row r="5" customFormat="false" ht="42" hidden="false" customHeight="true" outlineLevel="0" collapsed="false">
      <c r="A5" s="14" t="s">
        <v>58</v>
      </c>
      <c r="B5" s="14" t="s">
        <v>67</v>
      </c>
      <c r="C5" s="14" t="s">
        <v>68</v>
      </c>
      <c r="D5" s="14" t="s">
        <v>259</v>
      </c>
      <c r="E5" s="14" t="s">
        <v>260</v>
      </c>
      <c r="F5" s="14" t="s">
        <v>261</v>
      </c>
      <c r="G5" s="14" t="s">
        <v>262</v>
      </c>
      <c r="H5" s="14" t="s">
        <v>263</v>
      </c>
      <c r="I5" s="14" t="s">
        <v>264</v>
      </c>
      <c r="J5" s="14" t="s">
        <v>265</v>
      </c>
      <c r="K5" s="14" t="s">
        <v>266</v>
      </c>
      <c r="L5" s="14" t="s">
        <v>267</v>
      </c>
      <c r="M5" s="14" t="s">
        <v>268</v>
      </c>
      <c r="N5" s="14" t="s">
        <v>269</v>
      </c>
      <c r="O5" s="14" t="s">
        <v>270</v>
      </c>
      <c r="P5" s="14" t="s">
        <v>271</v>
      </c>
      <c r="Q5" s="14" t="s">
        <v>272</v>
      </c>
      <c r="R5" s="14" t="s">
        <v>273</v>
      </c>
      <c r="S5" s="14" t="s">
        <v>274</v>
      </c>
      <c r="T5" s="14" t="s">
        <v>275</v>
      </c>
      <c r="U5" s="14" t="s">
        <v>276</v>
      </c>
      <c r="V5" s="14" t="s">
        <v>277</v>
      </c>
      <c r="W5" s="14" t="s">
        <v>278</v>
      </c>
      <c r="X5" s="14" t="s">
        <v>279</v>
      </c>
      <c r="Y5" s="14" t="s">
        <v>280</v>
      </c>
      <c r="Z5" s="14" t="s">
        <v>281</v>
      </c>
      <c r="AA5" s="14" t="s">
        <v>282</v>
      </c>
      <c r="AB5" s="14" t="s">
        <v>80</v>
      </c>
      <c r="AC5" s="14" t="s">
        <v>81</v>
      </c>
      <c r="AD5" s="14" t="s">
        <v>283</v>
      </c>
      <c r="AE5" s="14" t="s">
        <v>284</v>
      </c>
      <c r="AF5" s="14" t="s">
        <v>285</v>
      </c>
      <c r="AG5" s="14" t="s">
        <v>286</v>
      </c>
      <c r="AH5" s="14" t="s">
        <v>287</v>
      </c>
      <c r="AI5" s="14" t="s">
        <v>288</v>
      </c>
      <c r="AJ5" s="14" t="s">
        <v>289</v>
      </c>
      <c r="AK5" s="14" t="s">
        <v>290</v>
      </c>
      <c r="AL5" s="14" t="s">
        <v>291</v>
      </c>
      <c r="AM5" s="14" t="s">
        <v>292</v>
      </c>
      <c r="AN5" s="14" t="s">
        <v>293</v>
      </c>
      <c r="AO5" s="14" t="s">
        <v>294</v>
      </c>
      <c r="AP5" s="14" t="s">
        <v>295</v>
      </c>
      <c r="AQ5" s="14" t="s">
        <v>296</v>
      </c>
      <c r="AR5" s="14" t="s">
        <v>297</v>
      </c>
      <c r="AS5" s="14" t="s">
        <v>298</v>
      </c>
      <c r="AT5" s="14" t="s">
        <v>299</v>
      </c>
      <c r="AU5" s="14" t="s">
        <v>300</v>
      </c>
      <c r="AV5" s="14" t="s">
        <v>301</v>
      </c>
      <c r="AW5" s="14" t="s">
        <v>302</v>
      </c>
      <c r="AX5" s="14" t="s">
        <v>303</v>
      </c>
      <c r="AY5" s="14" t="s">
        <v>304</v>
      </c>
      <c r="AZ5" s="14" t="s">
        <v>305</v>
      </c>
      <c r="BA5" s="14" t="s">
        <v>306</v>
      </c>
      <c r="BB5" s="14" t="s">
        <v>307</v>
      </c>
      <c r="BC5" s="14" t="s">
        <v>38</v>
      </c>
      <c r="BD5" s="14" t="s">
        <v>308</v>
      </c>
      <c r="BE5" s="14" t="s">
        <v>309</v>
      </c>
    </row>
    <row r="6" customFormat="false" ht="15" hidden="false" customHeight="false" outlineLevel="0" collapsed="false">
      <c r="A6" s="15" t="n">
        <v>1</v>
      </c>
      <c r="B6" s="18" t="str">
        <f aca="false">IF('MEUS PROCESSOS'!J6="","",'MEUS PROCESSOS'!J6)</f>
        <v/>
      </c>
      <c r="C6" s="15" t="str">
        <f aca="false">IF('MEUS PROCESSOS'!K6="","",'MEUS PROCESSOS'!K6)</f>
        <v/>
      </c>
      <c r="D6" s="19" t="n">
        <f aca="false">'MEUS PROCESSOS'!Q6</f>
        <v>0</v>
      </c>
      <c r="E6" s="16"/>
      <c r="F6" s="16"/>
      <c r="G6" s="16"/>
      <c r="H6" s="16"/>
      <c r="I6" s="22"/>
      <c r="J6" s="23"/>
      <c r="K6" s="16"/>
      <c r="L6" s="24"/>
      <c r="M6" s="16"/>
      <c r="N6" s="24"/>
      <c r="O6" s="25" t="str">
        <f aca="false">IF(OR(E6="",F6=""),"",F6*IF(E6="Diária",Mult_Diaria,IF(E6="Semanal",Mult_Semanal,1)))</f>
        <v/>
      </c>
      <c r="P6" s="25" t="str">
        <f aca="false">IF(OR(O6="",G6="",H6=""),"",O6*G6/60*H6)</f>
        <v/>
      </c>
      <c r="Q6" s="26" t="str">
        <f aca="false">IF(I6&lt;&gt;"",I6,IF(Custo_Hora_Padrao&lt;&gt;"",Custo_Hora_Padrao,""))</f>
        <v/>
      </c>
      <c r="R6" s="27" t="str">
        <f aca="false">IF(OR(P6="",Q6=""),"",P6*Q6*12)</f>
        <v/>
      </c>
      <c r="S6" s="27" t="str">
        <f aca="false">IF(R6="","",R6*N(J6))</f>
        <v/>
      </c>
      <c r="T6" s="27" t="str">
        <f aca="false">IF(R6="","",N(K6)*N(L6)*12)</f>
        <v/>
      </c>
      <c r="U6" s="27" t="str">
        <f aca="false">IF(R6="","",(N(M6)*Q6*HE_Fator+N(N6))*12)</f>
        <v/>
      </c>
      <c r="V6" s="28" t="str">
        <f aca="false">IF(R6="","",R6+S6+T6+U6)</f>
        <v/>
      </c>
      <c r="W6" s="15" t="str">
        <f aca="false">IF(V6="","",IF(V6&lt;=Faixa_1,1,IF(V6&lt;=Faixa_2,2,IF(V6&lt;=Faixa_3,3,IF(V6&lt;=Faixa_4,4,5)))))</f>
        <v/>
      </c>
      <c r="X6" s="16"/>
      <c r="Y6" s="16"/>
      <c r="Z6" s="16"/>
      <c r="AA6" s="16"/>
      <c r="AB6" s="16"/>
      <c r="AC6" s="16"/>
      <c r="AD6" s="16"/>
      <c r="AE6" s="16"/>
      <c r="AF6" s="15" t="str">
        <f aca="false">IF(AB6&lt;&gt;"",AB6,IF('MEUS PROCESSOS'!N6="Alto",Sug_Alto,IF('MEUS PROCESSOS'!N6="Médio",Sug_Medio,IF('MEUS PROCESSOS'!N6="Baixo",Sug_Baixo,""))))</f>
        <v/>
      </c>
      <c r="AG6" s="15" t="str">
        <f aca="false">IF(AC6&lt;&gt;"",AC6,IF('MEUS PROCESSOS'!O6="Alto",Sug_Alto,IF('MEUS PROCESSOS'!O6="Médio",Sug_Medio,IF('MEUS PROCESSOS'!O6="Baixo",Sug_Baixo,""))))</f>
        <v/>
      </c>
      <c r="AH6" s="15" t="str">
        <f aca="false">IF(B6="","",IF(AND(AB6&lt;&gt;"",AC6&lt;&gt;""),"Avaliado pela empresa",IF(AND(AB6="",AC6="",'MEUS PROCESSOS'!N6&lt;&gt;""),"Sugestão da biblioteca",IF('MEUS PROCESSOS'!N6&lt;&gt;"","Parcialmente sugerido",IF(AND(AB6="",AC6=""),"","Avaliado pela empresa")))))</f>
        <v/>
      </c>
      <c r="AI6" s="18" t="str">
        <f aca="false">IF(B6="","",IF(AND((COUNTBLANK(X6:AA6)+COUNTBLANK(AD6:AE6)+(AF6="")*1+(AG6="")*1)=0,W6&lt;&gt;""),"Completo","Incompleto — faltam "&amp;IF((COUNTBLANK(X6:AA6)+COUNTBLANK(AD6:AE6)+(AF6="")*1+(AG6="")*1)&gt;0,(COUNTBLANK(X6:AA6)+COUNTBLANK(AD6:AE6)+(AF6="")*1+(AG6="")*1)&amp;IF((COUNTBLANK(X6:AA6)+COUNTBLANK(AD6:AE6)+(AF6="")*1+(AG6="")*1)=1," avaliação"," avaliações"),"")&amp;IF(AND((COUNTBLANK(X6:AA6)+COUNTBLANK(AD6:AE6)+(AF6="")*1+(AG6="")*1)&gt;0,W6=""), " e ","")&amp;IF(W6="","os dados de custo","")))</f>
        <v/>
      </c>
      <c r="AJ6" s="29" t="str">
        <f aca="false">IF($AI6&lt;&gt;"Completo","",W_Custo*(W6-1)/4+W_Imp*(X6-1)/4)</f>
        <v/>
      </c>
      <c r="AK6" s="29" t="str">
        <f aca="false">IF($AI6&lt;&gt;"Completo","",W_Pot*(MAX(AF6,AG6)-1)/4+W_Rep*(Y6-1)/4+W_Pad*(Z6-1)/4+W_Vol*(AA6-1)/4)</f>
        <v/>
      </c>
      <c r="AL6" s="29" t="str">
        <f aca="false">IF($AI6&lt;&gt;"Completo","",(1-F_Pen*(AE6-1)/4)*(1-F_Pen*(AD6-1)/4))</f>
        <v/>
      </c>
      <c r="AM6" s="29" t="str">
        <f aca="false">IF($AI6&lt;&gt;"Completo","",SQRT(AK6*AL6))</f>
        <v/>
      </c>
      <c r="AN6" s="30" t="str">
        <f aca="false">IF($AI6&lt;&gt;"Completo","",100*AJ6^Exp_V*AM6^Exp_Vb)</f>
        <v/>
      </c>
      <c r="AO6" s="15" t="str">
        <f aca="false">IF(AN6="","",IF(AJ6&gt;=Corte,IF(AM6&gt;=Corte,"Fazer primeiro","Projeto estratégico"),IF(AM6&gt;=Corte,"Quick win","Evitar")))</f>
        <v/>
      </c>
      <c r="AP6" s="15" t="str">
        <f aca="false">IF(AN6="","",IF(OR(AD6&gt;=Trava_Nota,AE6&gt;=Trava_Nota),"SIM","—"))</f>
        <v/>
      </c>
      <c r="AQ6" s="15" t="str">
        <f aca="false">IF(AN6="","",IF(MAX(AF6,AG6)&lt;=Rota_Nota,"SIM","—"))</f>
        <v/>
      </c>
      <c r="AR6" s="15" t="str">
        <f aca="false">IF(AN6="","",IF(Z6&lt;=Rota_Nota,"SIM","—"))</f>
        <v/>
      </c>
      <c r="AS6" s="15" t="str">
        <f aca="false">IF(AN6="","",IF(AP6="SIM",IF(AJ6&gt;=Corte,"Projeto estratégico","Evitar"),AO6))</f>
        <v/>
      </c>
      <c r="AT6" s="15" t="str">
        <f aca="false">IF(AN6="","",IF(OR(AND(AJ6&gt;=Fr_Min,AJ6&lt;=Fr_Max),AND(AM6&gt;=Fr_Min,AM6&lt;=Fr_Max)),"Revisar",""))</f>
        <v/>
      </c>
      <c r="AU6" s="15" t="str">
        <f aca="false">IF(BE6="","",COUNTIF($BE$6:$BE$105,"&gt;"&amp;BE6)+1)</f>
        <v/>
      </c>
      <c r="AV6" s="16"/>
      <c r="AW6" s="15" t="str">
        <f aca="false">IF(B6="","",IF(AV6&lt;&gt;"",AV6,'MEUS PROCESSOS'!M6))</f>
        <v/>
      </c>
      <c r="AX6" s="23"/>
      <c r="AY6" s="31" t="str">
        <f aca="false">IF(AW6="","",IF(AX6&lt;&gt;"",AX6,IF(AW6="S",Red_S,IF(AW6="P",Red_P,IF(AW6="A",Red_A,IF(AW6="IA",Red_IA,""))))))</f>
        <v/>
      </c>
      <c r="AZ6" s="27" t="str">
        <f aca="false">IF(OR(V6="",AY6=""),"",(T6+U6)*AY6)</f>
        <v/>
      </c>
      <c r="BA6" s="27" t="str">
        <f aca="false">IF(OR(V6="",AY6=""),"",(R6+S6)*AY6)</f>
        <v/>
      </c>
      <c r="BB6" s="27" t="str">
        <f aca="false">IF(AZ6="","",AZ6+BA6)</f>
        <v/>
      </c>
      <c r="BC6" s="27" t="str">
        <f aca="false">IF(OR(P6="",AY6=""),"",(P6*(1+N(J6))+N(M6))*12*AY6)</f>
        <v/>
      </c>
      <c r="BD6" s="18" t="str">
        <f aca="false">IF(B6="","",IF(AND(AW6="E",AX6=""),"Eliminar: informe quanto do esforço atual deixa de existir (0% a 100%). Não há percentual inicial sugerido.",IF(AND(AX6="",AY6&lt;&gt;""),"Redução pela faixa inicial para simulação","")))</f>
        <v/>
      </c>
      <c r="BE6" s="19" t="str">
        <f aca="false">IF(AND(AN6&lt;&gt;"",D6=1),AN6+(1000-A6)/1000000,"")</f>
        <v/>
      </c>
    </row>
    <row r="7" customFormat="false" ht="15" hidden="false" customHeight="false" outlineLevel="0" collapsed="false">
      <c r="A7" s="15" t="n">
        <v>2</v>
      </c>
      <c r="B7" s="18" t="str">
        <f aca="false">IF('MEUS PROCESSOS'!J7="","",'MEUS PROCESSOS'!J7)</f>
        <v/>
      </c>
      <c r="C7" s="15" t="str">
        <f aca="false">IF('MEUS PROCESSOS'!K7="","",'MEUS PROCESSOS'!K7)</f>
        <v/>
      </c>
      <c r="D7" s="19" t="n">
        <f aca="false">'MEUS PROCESSOS'!Q7</f>
        <v>0</v>
      </c>
      <c r="E7" s="16"/>
      <c r="F7" s="16"/>
      <c r="G7" s="16"/>
      <c r="H7" s="16"/>
      <c r="I7" s="22"/>
      <c r="J7" s="23"/>
      <c r="K7" s="16"/>
      <c r="L7" s="24"/>
      <c r="M7" s="16"/>
      <c r="N7" s="24"/>
      <c r="O7" s="25" t="str">
        <f aca="false">IF(OR(E7="",F7=""),"",F7*IF(E7="Diária",Mult_Diaria,IF(E7="Semanal",Mult_Semanal,1)))</f>
        <v/>
      </c>
      <c r="P7" s="25" t="str">
        <f aca="false">IF(OR(O7="",G7="",H7=""),"",O7*G7/60*H7)</f>
        <v/>
      </c>
      <c r="Q7" s="26" t="str">
        <f aca="false">IF(I7&lt;&gt;"",I7,IF(Custo_Hora_Padrao&lt;&gt;"",Custo_Hora_Padrao,""))</f>
        <v/>
      </c>
      <c r="R7" s="27" t="str">
        <f aca="false">IF(OR(P7="",Q7=""),"",P7*Q7*12)</f>
        <v/>
      </c>
      <c r="S7" s="27" t="str">
        <f aca="false">IF(R7="","",R7*N(J7))</f>
        <v/>
      </c>
      <c r="T7" s="27" t="str">
        <f aca="false">IF(R7="","",N(K7)*N(L7)*12)</f>
        <v/>
      </c>
      <c r="U7" s="27" t="str">
        <f aca="false">IF(R7="","",(N(M7)*Q7*HE_Fator+N(N7))*12)</f>
        <v/>
      </c>
      <c r="V7" s="28" t="str">
        <f aca="false">IF(R7="","",R7+S7+T7+U7)</f>
        <v/>
      </c>
      <c r="W7" s="15" t="str">
        <f aca="false">IF(V7="","",IF(V7&lt;=Faixa_1,1,IF(V7&lt;=Faixa_2,2,IF(V7&lt;=Faixa_3,3,IF(V7&lt;=Faixa_4,4,5)))))</f>
        <v/>
      </c>
      <c r="X7" s="16"/>
      <c r="Y7" s="16"/>
      <c r="Z7" s="16"/>
      <c r="AA7" s="16"/>
      <c r="AB7" s="16"/>
      <c r="AC7" s="16"/>
      <c r="AD7" s="16"/>
      <c r="AE7" s="16"/>
      <c r="AF7" s="15" t="str">
        <f aca="false">IF(AB7&lt;&gt;"",AB7,IF('MEUS PROCESSOS'!N7="Alto",Sug_Alto,IF('MEUS PROCESSOS'!N7="Médio",Sug_Medio,IF('MEUS PROCESSOS'!N7="Baixo",Sug_Baixo,""))))</f>
        <v/>
      </c>
      <c r="AG7" s="15" t="str">
        <f aca="false">IF(AC7&lt;&gt;"",AC7,IF('MEUS PROCESSOS'!O7="Alto",Sug_Alto,IF('MEUS PROCESSOS'!O7="Médio",Sug_Medio,IF('MEUS PROCESSOS'!O7="Baixo",Sug_Baixo,""))))</f>
        <v/>
      </c>
      <c r="AH7" s="15" t="str">
        <f aca="false">IF(B7="","",IF(AND(AB7&lt;&gt;"",AC7&lt;&gt;""),"Avaliado pela empresa",IF(AND(AB7="",AC7="",'MEUS PROCESSOS'!N7&lt;&gt;""),"Sugestão da biblioteca",IF('MEUS PROCESSOS'!N7&lt;&gt;"","Parcialmente sugerido",IF(AND(AB7="",AC7=""),"","Avaliado pela empresa")))))</f>
        <v/>
      </c>
      <c r="AI7" s="18" t="str">
        <f aca="false">IF(B7="","",IF(AND((COUNTBLANK(X7:AA7)+COUNTBLANK(AD7:AE7)+(AF7="")*1+(AG7="")*1)=0,W7&lt;&gt;""),"Completo","Incompleto — faltam "&amp;IF((COUNTBLANK(X7:AA7)+COUNTBLANK(AD7:AE7)+(AF7="")*1+(AG7="")*1)&gt;0,(COUNTBLANK(X7:AA7)+COUNTBLANK(AD7:AE7)+(AF7="")*1+(AG7="")*1)&amp;IF((COUNTBLANK(X7:AA7)+COUNTBLANK(AD7:AE7)+(AF7="")*1+(AG7="")*1)=1," avaliação"," avaliações"),"")&amp;IF(AND((COUNTBLANK(X7:AA7)+COUNTBLANK(AD7:AE7)+(AF7="")*1+(AG7="")*1)&gt;0,W7=""), " e ","")&amp;IF(W7="","os dados de custo","")))</f>
        <v/>
      </c>
      <c r="AJ7" s="29" t="str">
        <f aca="false">IF($AI7&lt;&gt;"Completo","",W_Custo*(W7-1)/4+W_Imp*(X7-1)/4)</f>
        <v/>
      </c>
      <c r="AK7" s="29" t="str">
        <f aca="false">IF($AI7&lt;&gt;"Completo","",W_Pot*(MAX(AF7,AG7)-1)/4+W_Rep*(Y7-1)/4+W_Pad*(Z7-1)/4+W_Vol*(AA7-1)/4)</f>
        <v/>
      </c>
      <c r="AL7" s="29" t="str">
        <f aca="false">IF($AI7&lt;&gt;"Completo","",(1-F_Pen*(AE7-1)/4)*(1-F_Pen*(AD7-1)/4))</f>
        <v/>
      </c>
      <c r="AM7" s="29" t="str">
        <f aca="false">IF($AI7&lt;&gt;"Completo","",SQRT(AK7*AL7))</f>
        <v/>
      </c>
      <c r="AN7" s="30" t="str">
        <f aca="false">IF($AI7&lt;&gt;"Completo","",100*AJ7^Exp_V*AM7^Exp_Vb)</f>
        <v/>
      </c>
      <c r="AO7" s="15" t="str">
        <f aca="false">IF(AN7="","",IF(AJ7&gt;=Corte,IF(AM7&gt;=Corte,"Fazer primeiro","Projeto estratégico"),IF(AM7&gt;=Corte,"Quick win","Evitar")))</f>
        <v/>
      </c>
      <c r="AP7" s="15" t="str">
        <f aca="false">IF(AN7="","",IF(OR(AD7&gt;=Trava_Nota,AE7&gt;=Trava_Nota),"SIM","—"))</f>
        <v/>
      </c>
      <c r="AQ7" s="15" t="str">
        <f aca="false">IF(AN7="","",IF(MAX(AF7,AG7)&lt;=Rota_Nota,"SIM","—"))</f>
        <v/>
      </c>
      <c r="AR7" s="15" t="str">
        <f aca="false">IF(AN7="","",IF(Z7&lt;=Rota_Nota,"SIM","—"))</f>
        <v/>
      </c>
      <c r="AS7" s="15" t="str">
        <f aca="false">IF(AN7="","",IF(AP7="SIM",IF(AJ7&gt;=Corte,"Projeto estratégico","Evitar"),AO7))</f>
        <v/>
      </c>
      <c r="AT7" s="15" t="str">
        <f aca="false">IF(AN7="","",IF(OR(AND(AJ7&gt;=Fr_Min,AJ7&lt;=Fr_Max),AND(AM7&gt;=Fr_Min,AM7&lt;=Fr_Max)),"Revisar",""))</f>
        <v/>
      </c>
      <c r="AU7" s="15" t="str">
        <f aca="false">IF(BE7="","",COUNTIF($BE$6:$BE$105,"&gt;"&amp;BE7)+1)</f>
        <v/>
      </c>
      <c r="AV7" s="16"/>
      <c r="AW7" s="15" t="str">
        <f aca="false">IF(B7="","",IF(AV7&lt;&gt;"",AV7,'MEUS PROCESSOS'!M7))</f>
        <v/>
      </c>
      <c r="AX7" s="23"/>
      <c r="AY7" s="31" t="str">
        <f aca="false">IF(AW7="","",IF(AX7&lt;&gt;"",AX7,IF(AW7="S",Red_S,IF(AW7="P",Red_P,IF(AW7="A",Red_A,IF(AW7="IA",Red_IA,""))))))</f>
        <v/>
      </c>
      <c r="AZ7" s="27" t="str">
        <f aca="false">IF(OR(V7="",AY7=""),"",(T7+U7)*AY7)</f>
        <v/>
      </c>
      <c r="BA7" s="27" t="str">
        <f aca="false">IF(OR(V7="",AY7=""),"",(R7+S7)*AY7)</f>
        <v/>
      </c>
      <c r="BB7" s="27" t="str">
        <f aca="false">IF(AZ7="","",AZ7+BA7)</f>
        <v/>
      </c>
      <c r="BC7" s="27" t="str">
        <f aca="false">IF(OR(P7="",AY7=""),"",(P7*(1+N(J7))+N(M7))*12*AY7)</f>
        <v/>
      </c>
      <c r="BD7" s="18" t="str">
        <f aca="false">IF(B7="","",IF(AND(AW7="E",AX7=""),"Eliminar: informe quanto do esforço atual deixa de existir (0% a 100%). Não há percentual inicial sugerido.",IF(AND(AX7="",AY7&lt;&gt;""),"Redução pela faixa inicial para simulação","")))</f>
        <v/>
      </c>
      <c r="BE7" s="19" t="str">
        <f aca="false">IF(AND(AN7&lt;&gt;"",D7=1),AN7+(1000-A7)/1000000,"")</f>
        <v/>
      </c>
    </row>
    <row r="8" customFormat="false" ht="15" hidden="false" customHeight="false" outlineLevel="0" collapsed="false">
      <c r="A8" s="15" t="n">
        <v>3</v>
      </c>
      <c r="B8" s="18" t="str">
        <f aca="false">IF('MEUS PROCESSOS'!J8="","",'MEUS PROCESSOS'!J8)</f>
        <v/>
      </c>
      <c r="C8" s="15" t="str">
        <f aca="false">IF('MEUS PROCESSOS'!K8="","",'MEUS PROCESSOS'!K8)</f>
        <v/>
      </c>
      <c r="D8" s="19" t="n">
        <f aca="false">'MEUS PROCESSOS'!Q8</f>
        <v>0</v>
      </c>
      <c r="E8" s="16"/>
      <c r="F8" s="16"/>
      <c r="G8" s="16"/>
      <c r="H8" s="16"/>
      <c r="I8" s="22"/>
      <c r="J8" s="23"/>
      <c r="K8" s="16"/>
      <c r="L8" s="24"/>
      <c r="M8" s="16"/>
      <c r="N8" s="24"/>
      <c r="O8" s="25" t="str">
        <f aca="false">IF(OR(E8="",F8=""),"",F8*IF(E8="Diária",Mult_Diaria,IF(E8="Semanal",Mult_Semanal,1)))</f>
        <v/>
      </c>
      <c r="P8" s="25" t="str">
        <f aca="false">IF(OR(O8="",G8="",H8=""),"",O8*G8/60*H8)</f>
        <v/>
      </c>
      <c r="Q8" s="26" t="str">
        <f aca="false">IF(I8&lt;&gt;"",I8,IF(Custo_Hora_Padrao&lt;&gt;"",Custo_Hora_Padrao,""))</f>
        <v/>
      </c>
      <c r="R8" s="27" t="str">
        <f aca="false">IF(OR(P8="",Q8=""),"",P8*Q8*12)</f>
        <v/>
      </c>
      <c r="S8" s="27" t="str">
        <f aca="false">IF(R8="","",R8*N(J8))</f>
        <v/>
      </c>
      <c r="T8" s="27" t="str">
        <f aca="false">IF(R8="","",N(K8)*N(L8)*12)</f>
        <v/>
      </c>
      <c r="U8" s="27" t="str">
        <f aca="false">IF(R8="","",(N(M8)*Q8*HE_Fator+N(N8))*12)</f>
        <v/>
      </c>
      <c r="V8" s="28" t="str">
        <f aca="false">IF(R8="","",R8+S8+T8+U8)</f>
        <v/>
      </c>
      <c r="W8" s="15" t="str">
        <f aca="false">IF(V8="","",IF(V8&lt;=Faixa_1,1,IF(V8&lt;=Faixa_2,2,IF(V8&lt;=Faixa_3,3,IF(V8&lt;=Faixa_4,4,5)))))</f>
        <v/>
      </c>
      <c r="X8" s="16"/>
      <c r="Y8" s="16"/>
      <c r="Z8" s="16"/>
      <c r="AA8" s="16"/>
      <c r="AB8" s="16"/>
      <c r="AC8" s="16"/>
      <c r="AD8" s="16"/>
      <c r="AE8" s="16"/>
      <c r="AF8" s="15" t="str">
        <f aca="false">IF(AB8&lt;&gt;"",AB8,IF('MEUS PROCESSOS'!N8="Alto",Sug_Alto,IF('MEUS PROCESSOS'!N8="Médio",Sug_Medio,IF('MEUS PROCESSOS'!N8="Baixo",Sug_Baixo,""))))</f>
        <v/>
      </c>
      <c r="AG8" s="15" t="str">
        <f aca="false">IF(AC8&lt;&gt;"",AC8,IF('MEUS PROCESSOS'!O8="Alto",Sug_Alto,IF('MEUS PROCESSOS'!O8="Médio",Sug_Medio,IF('MEUS PROCESSOS'!O8="Baixo",Sug_Baixo,""))))</f>
        <v/>
      </c>
      <c r="AH8" s="15" t="str">
        <f aca="false">IF(B8="","",IF(AND(AB8&lt;&gt;"",AC8&lt;&gt;""),"Avaliado pela empresa",IF(AND(AB8="",AC8="",'MEUS PROCESSOS'!N8&lt;&gt;""),"Sugestão da biblioteca",IF('MEUS PROCESSOS'!N8&lt;&gt;"","Parcialmente sugerido",IF(AND(AB8="",AC8=""),"","Avaliado pela empresa")))))</f>
        <v/>
      </c>
      <c r="AI8" s="18" t="str">
        <f aca="false">IF(B8="","",IF(AND((COUNTBLANK(X8:AA8)+COUNTBLANK(AD8:AE8)+(AF8="")*1+(AG8="")*1)=0,W8&lt;&gt;""),"Completo","Incompleto — faltam "&amp;IF((COUNTBLANK(X8:AA8)+COUNTBLANK(AD8:AE8)+(AF8="")*1+(AG8="")*1)&gt;0,(COUNTBLANK(X8:AA8)+COUNTBLANK(AD8:AE8)+(AF8="")*1+(AG8="")*1)&amp;IF((COUNTBLANK(X8:AA8)+COUNTBLANK(AD8:AE8)+(AF8="")*1+(AG8="")*1)=1," avaliação"," avaliações"),"")&amp;IF(AND((COUNTBLANK(X8:AA8)+COUNTBLANK(AD8:AE8)+(AF8="")*1+(AG8="")*1)&gt;0,W8=""), " e ","")&amp;IF(W8="","os dados de custo","")))</f>
        <v/>
      </c>
      <c r="AJ8" s="29" t="str">
        <f aca="false">IF($AI8&lt;&gt;"Completo","",W_Custo*(W8-1)/4+W_Imp*(X8-1)/4)</f>
        <v/>
      </c>
      <c r="AK8" s="29" t="str">
        <f aca="false">IF($AI8&lt;&gt;"Completo","",W_Pot*(MAX(AF8,AG8)-1)/4+W_Rep*(Y8-1)/4+W_Pad*(Z8-1)/4+W_Vol*(AA8-1)/4)</f>
        <v/>
      </c>
      <c r="AL8" s="29" t="str">
        <f aca="false">IF($AI8&lt;&gt;"Completo","",(1-F_Pen*(AE8-1)/4)*(1-F_Pen*(AD8-1)/4))</f>
        <v/>
      </c>
      <c r="AM8" s="29" t="str">
        <f aca="false">IF($AI8&lt;&gt;"Completo","",SQRT(AK8*AL8))</f>
        <v/>
      </c>
      <c r="AN8" s="30" t="str">
        <f aca="false">IF($AI8&lt;&gt;"Completo","",100*AJ8^Exp_V*AM8^Exp_Vb)</f>
        <v/>
      </c>
      <c r="AO8" s="15" t="str">
        <f aca="false">IF(AN8="","",IF(AJ8&gt;=Corte,IF(AM8&gt;=Corte,"Fazer primeiro","Projeto estratégico"),IF(AM8&gt;=Corte,"Quick win","Evitar")))</f>
        <v/>
      </c>
      <c r="AP8" s="15" t="str">
        <f aca="false">IF(AN8="","",IF(OR(AD8&gt;=Trava_Nota,AE8&gt;=Trava_Nota),"SIM","—"))</f>
        <v/>
      </c>
      <c r="AQ8" s="15" t="str">
        <f aca="false">IF(AN8="","",IF(MAX(AF8,AG8)&lt;=Rota_Nota,"SIM","—"))</f>
        <v/>
      </c>
      <c r="AR8" s="15" t="str">
        <f aca="false">IF(AN8="","",IF(Z8&lt;=Rota_Nota,"SIM","—"))</f>
        <v/>
      </c>
      <c r="AS8" s="15" t="str">
        <f aca="false">IF(AN8="","",IF(AP8="SIM",IF(AJ8&gt;=Corte,"Projeto estratégico","Evitar"),AO8))</f>
        <v/>
      </c>
      <c r="AT8" s="15" t="str">
        <f aca="false">IF(AN8="","",IF(OR(AND(AJ8&gt;=Fr_Min,AJ8&lt;=Fr_Max),AND(AM8&gt;=Fr_Min,AM8&lt;=Fr_Max)),"Revisar",""))</f>
        <v/>
      </c>
      <c r="AU8" s="15" t="str">
        <f aca="false">IF(BE8="","",COUNTIF($BE$6:$BE$105,"&gt;"&amp;BE8)+1)</f>
        <v/>
      </c>
      <c r="AV8" s="16"/>
      <c r="AW8" s="15" t="str">
        <f aca="false">IF(B8="","",IF(AV8&lt;&gt;"",AV8,'MEUS PROCESSOS'!M8))</f>
        <v/>
      </c>
      <c r="AX8" s="23"/>
      <c r="AY8" s="31" t="str">
        <f aca="false">IF(AW8="","",IF(AX8&lt;&gt;"",AX8,IF(AW8="S",Red_S,IF(AW8="P",Red_P,IF(AW8="A",Red_A,IF(AW8="IA",Red_IA,""))))))</f>
        <v/>
      </c>
      <c r="AZ8" s="27" t="str">
        <f aca="false">IF(OR(V8="",AY8=""),"",(T8+U8)*AY8)</f>
        <v/>
      </c>
      <c r="BA8" s="27" t="str">
        <f aca="false">IF(OR(V8="",AY8=""),"",(R8+S8)*AY8)</f>
        <v/>
      </c>
      <c r="BB8" s="27" t="str">
        <f aca="false">IF(AZ8="","",AZ8+BA8)</f>
        <v/>
      </c>
      <c r="BC8" s="27" t="str">
        <f aca="false">IF(OR(P8="",AY8=""),"",(P8*(1+N(J8))+N(M8))*12*AY8)</f>
        <v/>
      </c>
      <c r="BD8" s="18" t="str">
        <f aca="false">IF(B8="","",IF(AND(AW8="E",AX8=""),"Eliminar: informe quanto do esforço atual deixa de existir (0% a 100%). Não há percentual inicial sugerido.",IF(AND(AX8="",AY8&lt;&gt;""),"Redução pela faixa inicial para simulação","")))</f>
        <v/>
      </c>
      <c r="BE8" s="19" t="str">
        <f aca="false">IF(AND(AN8&lt;&gt;"",D8=1),AN8+(1000-A8)/1000000,"")</f>
        <v/>
      </c>
    </row>
    <row r="9" customFormat="false" ht="15" hidden="false" customHeight="false" outlineLevel="0" collapsed="false">
      <c r="A9" s="15" t="n">
        <v>4</v>
      </c>
      <c r="B9" s="18" t="str">
        <f aca="false">IF('MEUS PROCESSOS'!J9="","",'MEUS PROCESSOS'!J9)</f>
        <v/>
      </c>
      <c r="C9" s="15" t="str">
        <f aca="false">IF('MEUS PROCESSOS'!K9="","",'MEUS PROCESSOS'!K9)</f>
        <v/>
      </c>
      <c r="D9" s="19" t="n">
        <f aca="false">'MEUS PROCESSOS'!Q9</f>
        <v>0</v>
      </c>
      <c r="E9" s="16"/>
      <c r="F9" s="16"/>
      <c r="G9" s="16"/>
      <c r="H9" s="16"/>
      <c r="I9" s="22"/>
      <c r="J9" s="23"/>
      <c r="K9" s="16"/>
      <c r="L9" s="24"/>
      <c r="M9" s="16"/>
      <c r="N9" s="24"/>
      <c r="O9" s="25" t="str">
        <f aca="false">IF(OR(E9="",F9=""),"",F9*IF(E9="Diária",Mult_Diaria,IF(E9="Semanal",Mult_Semanal,1)))</f>
        <v/>
      </c>
      <c r="P9" s="25" t="str">
        <f aca="false">IF(OR(O9="",G9="",H9=""),"",O9*G9/60*H9)</f>
        <v/>
      </c>
      <c r="Q9" s="26" t="str">
        <f aca="false">IF(I9&lt;&gt;"",I9,IF(Custo_Hora_Padrao&lt;&gt;"",Custo_Hora_Padrao,""))</f>
        <v/>
      </c>
      <c r="R9" s="27" t="str">
        <f aca="false">IF(OR(P9="",Q9=""),"",P9*Q9*12)</f>
        <v/>
      </c>
      <c r="S9" s="27" t="str">
        <f aca="false">IF(R9="","",R9*N(J9))</f>
        <v/>
      </c>
      <c r="T9" s="27" t="str">
        <f aca="false">IF(R9="","",N(K9)*N(L9)*12)</f>
        <v/>
      </c>
      <c r="U9" s="27" t="str">
        <f aca="false">IF(R9="","",(N(M9)*Q9*HE_Fator+N(N9))*12)</f>
        <v/>
      </c>
      <c r="V9" s="28" t="str">
        <f aca="false">IF(R9="","",R9+S9+T9+U9)</f>
        <v/>
      </c>
      <c r="W9" s="15" t="str">
        <f aca="false">IF(V9="","",IF(V9&lt;=Faixa_1,1,IF(V9&lt;=Faixa_2,2,IF(V9&lt;=Faixa_3,3,IF(V9&lt;=Faixa_4,4,5)))))</f>
        <v/>
      </c>
      <c r="X9" s="16"/>
      <c r="Y9" s="16"/>
      <c r="Z9" s="16"/>
      <c r="AA9" s="16"/>
      <c r="AB9" s="16"/>
      <c r="AC9" s="16"/>
      <c r="AD9" s="16"/>
      <c r="AE9" s="16"/>
      <c r="AF9" s="15" t="str">
        <f aca="false">IF(AB9&lt;&gt;"",AB9,IF('MEUS PROCESSOS'!N9="Alto",Sug_Alto,IF('MEUS PROCESSOS'!N9="Médio",Sug_Medio,IF('MEUS PROCESSOS'!N9="Baixo",Sug_Baixo,""))))</f>
        <v/>
      </c>
      <c r="AG9" s="15" t="str">
        <f aca="false">IF(AC9&lt;&gt;"",AC9,IF('MEUS PROCESSOS'!O9="Alto",Sug_Alto,IF('MEUS PROCESSOS'!O9="Médio",Sug_Medio,IF('MEUS PROCESSOS'!O9="Baixo",Sug_Baixo,""))))</f>
        <v/>
      </c>
      <c r="AH9" s="15" t="str">
        <f aca="false">IF(B9="","",IF(AND(AB9&lt;&gt;"",AC9&lt;&gt;""),"Avaliado pela empresa",IF(AND(AB9="",AC9="",'MEUS PROCESSOS'!N9&lt;&gt;""),"Sugestão da biblioteca",IF('MEUS PROCESSOS'!N9&lt;&gt;"","Parcialmente sugerido",IF(AND(AB9="",AC9=""),"","Avaliado pela empresa")))))</f>
        <v/>
      </c>
      <c r="AI9" s="18" t="str">
        <f aca="false">IF(B9="","",IF(AND((COUNTBLANK(X9:AA9)+COUNTBLANK(AD9:AE9)+(AF9="")*1+(AG9="")*1)=0,W9&lt;&gt;""),"Completo","Incompleto — faltam "&amp;IF((COUNTBLANK(X9:AA9)+COUNTBLANK(AD9:AE9)+(AF9="")*1+(AG9="")*1)&gt;0,(COUNTBLANK(X9:AA9)+COUNTBLANK(AD9:AE9)+(AF9="")*1+(AG9="")*1)&amp;IF((COUNTBLANK(X9:AA9)+COUNTBLANK(AD9:AE9)+(AF9="")*1+(AG9="")*1)=1," avaliação"," avaliações"),"")&amp;IF(AND((COUNTBLANK(X9:AA9)+COUNTBLANK(AD9:AE9)+(AF9="")*1+(AG9="")*1)&gt;0,W9=""), " e ","")&amp;IF(W9="","os dados de custo","")))</f>
        <v/>
      </c>
      <c r="AJ9" s="29" t="str">
        <f aca="false">IF($AI9&lt;&gt;"Completo","",W_Custo*(W9-1)/4+W_Imp*(X9-1)/4)</f>
        <v/>
      </c>
      <c r="AK9" s="29" t="str">
        <f aca="false">IF($AI9&lt;&gt;"Completo","",W_Pot*(MAX(AF9,AG9)-1)/4+W_Rep*(Y9-1)/4+W_Pad*(Z9-1)/4+W_Vol*(AA9-1)/4)</f>
        <v/>
      </c>
      <c r="AL9" s="29" t="str">
        <f aca="false">IF($AI9&lt;&gt;"Completo","",(1-F_Pen*(AE9-1)/4)*(1-F_Pen*(AD9-1)/4))</f>
        <v/>
      </c>
      <c r="AM9" s="29" t="str">
        <f aca="false">IF($AI9&lt;&gt;"Completo","",SQRT(AK9*AL9))</f>
        <v/>
      </c>
      <c r="AN9" s="30" t="str">
        <f aca="false">IF($AI9&lt;&gt;"Completo","",100*AJ9^Exp_V*AM9^Exp_Vb)</f>
        <v/>
      </c>
      <c r="AO9" s="15" t="str">
        <f aca="false">IF(AN9="","",IF(AJ9&gt;=Corte,IF(AM9&gt;=Corte,"Fazer primeiro","Projeto estratégico"),IF(AM9&gt;=Corte,"Quick win","Evitar")))</f>
        <v/>
      </c>
      <c r="AP9" s="15" t="str">
        <f aca="false">IF(AN9="","",IF(OR(AD9&gt;=Trava_Nota,AE9&gt;=Trava_Nota),"SIM","—"))</f>
        <v/>
      </c>
      <c r="AQ9" s="15" t="str">
        <f aca="false">IF(AN9="","",IF(MAX(AF9,AG9)&lt;=Rota_Nota,"SIM","—"))</f>
        <v/>
      </c>
      <c r="AR9" s="15" t="str">
        <f aca="false">IF(AN9="","",IF(Z9&lt;=Rota_Nota,"SIM","—"))</f>
        <v/>
      </c>
      <c r="AS9" s="15" t="str">
        <f aca="false">IF(AN9="","",IF(AP9="SIM",IF(AJ9&gt;=Corte,"Projeto estratégico","Evitar"),AO9))</f>
        <v/>
      </c>
      <c r="AT9" s="15" t="str">
        <f aca="false">IF(AN9="","",IF(OR(AND(AJ9&gt;=Fr_Min,AJ9&lt;=Fr_Max),AND(AM9&gt;=Fr_Min,AM9&lt;=Fr_Max)),"Revisar",""))</f>
        <v/>
      </c>
      <c r="AU9" s="15" t="str">
        <f aca="false">IF(BE9="","",COUNTIF($BE$6:$BE$105,"&gt;"&amp;BE9)+1)</f>
        <v/>
      </c>
      <c r="AV9" s="16"/>
      <c r="AW9" s="15" t="str">
        <f aca="false">IF(B9="","",IF(AV9&lt;&gt;"",AV9,'MEUS PROCESSOS'!M9))</f>
        <v/>
      </c>
      <c r="AX9" s="23"/>
      <c r="AY9" s="31" t="str">
        <f aca="false">IF(AW9="","",IF(AX9&lt;&gt;"",AX9,IF(AW9="S",Red_S,IF(AW9="P",Red_P,IF(AW9="A",Red_A,IF(AW9="IA",Red_IA,""))))))</f>
        <v/>
      </c>
      <c r="AZ9" s="27" t="str">
        <f aca="false">IF(OR(V9="",AY9=""),"",(T9+U9)*AY9)</f>
        <v/>
      </c>
      <c r="BA9" s="27" t="str">
        <f aca="false">IF(OR(V9="",AY9=""),"",(R9+S9)*AY9)</f>
        <v/>
      </c>
      <c r="BB9" s="27" t="str">
        <f aca="false">IF(AZ9="","",AZ9+BA9)</f>
        <v/>
      </c>
      <c r="BC9" s="27" t="str">
        <f aca="false">IF(OR(P9="",AY9=""),"",(P9*(1+N(J9))+N(M9))*12*AY9)</f>
        <v/>
      </c>
      <c r="BD9" s="18" t="str">
        <f aca="false">IF(B9="","",IF(AND(AW9="E",AX9=""),"Eliminar: informe quanto do esforço atual deixa de existir (0% a 100%). Não há percentual inicial sugerido.",IF(AND(AX9="",AY9&lt;&gt;""),"Redução pela faixa inicial para simulação","")))</f>
        <v/>
      </c>
      <c r="BE9" s="19" t="str">
        <f aca="false">IF(AND(AN9&lt;&gt;"",D9=1),AN9+(1000-A9)/1000000,"")</f>
        <v/>
      </c>
    </row>
    <row r="10" customFormat="false" ht="15" hidden="false" customHeight="false" outlineLevel="0" collapsed="false">
      <c r="A10" s="15" t="n">
        <v>5</v>
      </c>
      <c r="B10" s="18" t="str">
        <f aca="false">IF('MEUS PROCESSOS'!J10="","",'MEUS PROCESSOS'!J10)</f>
        <v/>
      </c>
      <c r="C10" s="15" t="str">
        <f aca="false">IF('MEUS PROCESSOS'!K10="","",'MEUS PROCESSOS'!K10)</f>
        <v/>
      </c>
      <c r="D10" s="19" t="n">
        <f aca="false">'MEUS PROCESSOS'!Q10</f>
        <v>0</v>
      </c>
      <c r="E10" s="16"/>
      <c r="F10" s="16"/>
      <c r="G10" s="16"/>
      <c r="H10" s="16"/>
      <c r="I10" s="22"/>
      <c r="J10" s="23"/>
      <c r="K10" s="16"/>
      <c r="L10" s="24"/>
      <c r="M10" s="16"/>
      <c r="N10" s="24"/>
      <c r="O10" s="25" t="str">
        <f aca="false">IF(OR(E10="",F10=""),"",F10*IF(E10="Diária",Mult_Diaria,IF(E10="Semanal",Mult_Semanal,1)))</f>
        <v/>
      </c>
      <c r="P10" s="25" t="str">
        <f aca="false">IF(OR(O10="",G10="",H10=""),"",O10*G10/60*H10)</f>
        <v/>
      </c>
      <c r="Q10" s="26" t="str">
        <f aca="false">IF(I10&lt;&gt;"",I10,IF(Custo_Hora_Padrao&lt;&gt;"",Custo_Hora_Padrao,""))</f>
        <v/>
      </c>
      <c r="R10" s="27" t="str">
        <f aca="false">IF(OR(P10="",Q10=""),"",P10*Q10*12)</f>
        <v/>
      </c>
      <c r="S10" s="27" t="str">
        <f aca="false">IF(R10="","",R10*N(J10))</f>
        <v/>
      </c>
      <c r="T10" s="27" t="str">
        <f aca="false">IF(R10="","",N(K10)*N(L10)*12)</f>
        <v/>
      </c>
      <c r="U10" s="27" t="str">
        <f aca="false">IF(R10="","",(N(M10)*Q10*HE_Fator+N(N10))*12)</f>
        <v/>
      </c>
      <c r="V10" s="28" t="str">
        <f aca="false">IF(R10="","",R10+S10+T10+U10)</f>
        <v/>
      </c>
      <c r="W10" s="15" t="str">
        <f aca="false">IF(V10="","",IF(V10&lt;=Faixa_1,1,IF(V10&lt;=Faixa_2,2,IF(V10&lt;=Faixa_3,3,IF(V10&lt;=Faixa_4,4,5)))))</f>
        <v/>
      </c>
      <c r="X10" s="16"/>
      <c r="Y10" s="16"/>
      <c r="Z10" s="16"/>
      <c r="AA10" s="16"/>
      <c r="AB10" s="16"/>
      <c r="AC10" s="16"/>
      <c r="AD10" s="16"/>
      <c r="AE10" s="16"/>
      <c r="AF10" s="15" t="str">
        <f aca="false">IF(AB10&lt;&gt;"",AB10,IF('MEUS PROCESSOS'!N10="Alto",Sug_Alto,IF('MEUS PROCESSOS'!N10="Médio",Sug_Medio,IF('MEUS PROCESSOS'!N10="Baixo",Sug_Baixo,""))))</f>
        <v/>
      </c>
      <c r="AG10" s="15" t="str">
        <f aca="false">IF(AC10&lt;&gt;"",AC10,IF('MEUS PROCESSOS'!O10="Alto",Sug_Alto,IF('MEUS PROCESSOS'!O10="Médio",Sug_Medio,IF('MEUS PROCESSOS'!O10="Baixo",Sug_Baixo,""))))</f>
        <v/>
      </c>
      <c r="AH10" s="15" t="str">
        <f aca="false">IF(B10="","",IF(AND(AB10&lt;&gt;"",AC10&lt;&gt;""),"Avaliado pela empresa",IF(AND(AB10="",AC10="",'MEUS PROCESSOS'!N10&lt;&gt;""),"Sugestão da biblioteca",IF('MEUS PROCESSOS'!N10&lt;&gt;"","Parcialmente sugerido",IF(AND(AB10="",AC10=""),"","Avaliado pela empresa")))))</f>
        <v/>
      </c>
      <c r="AI10" s="18" t="str">
        <f aca="false">IF(B10="","",IF(AND((COUNTBLANK(X10:AA10)+COUNTBLANK(AD10:AE10)+(AF10="")*1+(AG10="")*1)=0,W10&lt;&gt;""),"Completo","Incompleto — faltam "&amp;IF((COUNTBLANK(X10:AA10)+COUNTBLANK(AD10:AE10)+(AF10="")*1+(AG10="")*1)&gt;0,(COUNTBLANK(X10:AA10)+COUNTBLANK(AD10:AE10)+(AF10="")*1+(AG10="")*1)&amp;IF((COUNTBLANK(X10:AA10)+COUNTBLANK(AD10:AE10)+(AF10="")*1+(AG10="")*1)=1," avaliação"," avaliações"),"")&amp;IF(AND((COUNTBLANK(X10:AA10)+COUNTBLANK(AD10:AE10)+(AF10="")*1+(AG10="")*1)&gt;0,W10=""), " e ","")&amp;IF(W10="","os dados de custo","")))</f>
        <v/>
      </c>
      <c r="AJ10" s="29" t="str">
        <f aca="false">IF($AI10&lt;&gt;"Completo","",W_Custo*(W10-1)/4+W_Imp*(X10-1)/4)</f>
        <v/>
      </c>
      <c r="AK10" s="29" t="str">
        <f aca="false">IF($AI10&lt;&gt;"Completo","",W_Pot*(MAX(AF10,AG10)-1)/4+W_Rep*(Y10-1)/4+W_Pad*(Z10-1)/4+W_Vol*(AA10-1)/4)</f>
        <v/>
      </c>
      <c r="AL10" s="29" t="str">
        <f aca="false">IF($AI10&lt;&gt;"Completo","",(1-F_Pen*(AE10-1)/4)*(1-F_Pen*(AD10-1)/4))</f>
        <v/>
      </c>
      <c r="AM10" s="29" t="str">
        <f aca="false">IF($AI10&lt;&gt;"Completo","",SQRT(AK10*AL10))</f>
        <v/>
      </c>
      <c r="AN10" s="30" t="str">
        <f aca="false">IF($AI10&lt;&gt;"Completo","",100*AJ10^Exp_V*AM10^Exp_Vb)</f>
        <v/>
      </c>
      <c r="AO10" s="15" t="str">
        <f aca="false">IF(AN10="","",IF(AJ10&gt;=Corte,IF(AM10&gt;=Corte,"Fazer primeiro","Projeto estratégico"),IF(AM10&gt;=Corte,"Quick win","Evitar")))</f>
        <v/>
      </c>
      <c r="AP10" s="15" t="str">
        <f aca="false">IF(AN10="","",IF(OR(AD10&gt;=Trava_Nota,AE10&gt;=Trava_Nota),"SIM","—"))</f>
        <v/>
      </c>
      <c r="AQ10" s="15" t="str">
        <f aca="false">IF(AN10="","",IF(MAX(AF10,AG10)&lt;=Rota_Nota,"SIM","—"))</f>
        <v/>
      </c>
      <c r="AR10" s="15" t="str">
        <f aca="false">IF(AN10="","",IF(Z10&lt;=Rota_Nota,"SIM","—"))</f>
        <v/>
      </c>
      <c r="AS10" s="15" t="str">
        <f aca="false">IF(AN10="","",IF(AP10="SIM",IF(AJ10&gt;=Corte,"Projeto estratégico","Evitar"),AO10))</f>
        <v/>
      </c>
      <c r="AT10" s="15" t="str">
        <f aca="false">IF(AN10="","",IF(OR(AND(AJ10&gt;=Fr_Min,AJ10&lt;=Fr_Max),AND(AM10&gt;=Fr_Min,AM10&lt;=Fr_Max)),"Revisar",""))</f>
        <v/>
      </c>
      <c r="AU10" s="15" t="str">
        <f aca="false">IF(BE10="","",COUNTIF($BE$6:$BE$105,"&gt;"&amp;BE10)+1)</f>
        <v/>
      </c>
      <c r="AV10" s="16"/>
      <c r="AW10" s="15" t="str">
        <f aca="false">IF(B10="","",IF(AV10&lt;&gt;"",AV10,'MEUS PROCESSOS'!M10))</f>
        <v/>
      </c>
      <c r="AX10" s="23"/>
      <c r="AY10" s="31" t="str">
        <f aca="false">IF(AW10="","",IF(AX10&lt;&gt;"",AX10,IF(AW10="S",Red_S,IF(AW10="P",Red_P,IF(AW10="A",Red_A,IF(AW10="IA",Red_IA,""))))))</f>
        <v/>
      </c>
      <c r="AZ10" s="27" t="str">
        <f aca="false">IF(OR(V10="",AY10=""),"",(T10+U10)*AY10)</f>
        <v/>
      </c>
      <c r="BA10" s="27" t="str">
        <f aca="false">IF(OR(V10="",AY10=""),"",(R10+S10)*AY10)</f>
        <v/>
      </c>
      <c r="BB10" s="27" t="str">
        <f aca="false">IF(AZ10="","",AZ10+BA10)</f>
        <v/>
      </c>
      <c r="BC10" s="27" t="str">
        <f aca="false">IF(OR(P10="",AY10=""),"",(P10*(1+N(J10))+N(M10))*12*AY10)</f>
        <v/>
      </c>
      <c r="BD10" s="18" t="str">
        <f aca="false">IF(B10="","",IF(AND(AW10="E",AX10=""),"Eliminar: informe quanto do esforço atual deixa de existir (0% a 100%). Não há percentual inicial sugerido.",IF(AND(AX10="",AY10&lt;&gt;""),"Redução pela faixa inicial para simulação","")))</f>
        <v/>
      </c>
      <c r="BE10" s="19" t="str">
        <f aca="false">IF(AND(AN10&lt;&gt;"",D10=1),AN10+(1000-A10)/1000000,"")</f>
        <v/>
      </c>
    </row>
    <row r="11" customFormat="false" ht="15" hidden="false" customHeight="false" outlineLevel="0" collapsed="false">
      <c r="A11" s="15" t="n">
        <v>6</v>
      </c>
      <c r="B11" s="18" t="str">
        <f aca="false">IF('MEUS PROCESSOS'!J11="","",'MEUS PROCESSOS'!J11)</f>
        <v/>
      </c>
      <c r="C11" s="15" t="str">
        <f aca="false">IF('MEUS PROCESSOS'!K11="","",'MEUS PROCESSOS'!K11)</f>
        <v/>
      </c>
      <c r="D11" s="19" t="n">
        <f aca="false">'MEUS PROCESSOS'!Q11</f>
        <v>0</v>
      </c>
      <c r="E11" s="16"/>
      <c r="F11" s="16"/>
      <c r="G11" s="16"/>
      <c r="H11" s="16"/>
      <c r="I11" s="22"/>
      <c r="J11" s="23"/>
      <c r="K11" s="16"/>
      <c r="L11" s="24"/>
      <c r="M11" s="16"/>
      <c r="N11" s="24"/>
      <c r="O11" s="25" t="str">
        <f aca="false">IF(OR(E11="",F11=""),"",F11*IF(E11="Diária",Mult_Diaria,IF(E11="Semanal",Mult_Semanal,1)))</f>
        <v/>
      </c>
      <c r="P11" s="25" t="str">
        <f aca="false">IF(OR(O11="",G11="",H11=""),"",O11*G11/60*H11)</f>
        <v/>
      </c>
      <c r="Q11" s="26" t="str">
        <f aca="false">IF(I11&lt;&gt;"",I11,IF(Custo_Hora_Padrao&lt;&gt;"",Custo_Hora_Padrao,""))</f>
        <v/>
      </c>
      <c r="R11" s="27" t="str">
        <f aca="false">IF(OR(P11="",Q11=""),"",P11*Q11*12)</f>
        <v/>
      </c>
      <c r="S11" s="27" t="str">
        <f aca="false">IF(R11="","",R11*N(J11))</f>
        <v/>
      </c>
      <c r="T11" s="27" t="str">
        <f aca="false">IF(R11="","",N(K11)*N(L11)*12)</f>
        <v/>
      </c>
      <c r="U11" s="27" t="str">
        <f aca="false">IF(R11="","",(N(M11)*Q11*HE_Fator+N(N11))*12)</f>
        <v/>
      </c>
      <c r="V11" s="28" t="str">
        <f aca="false">IF(R11="","",R11+S11+T11+U11)</f>
        <v/>
      </c>
      <c r="W11" s="15" t="str">
        <f aca="false">IF(V11="","",IF(V11&lt;=Faixa_1,1,IF(V11&lt;=Faixa_2,2,IF(V11&lt;=Faixa_3,3,IF(V11&lt;=Faixa_4,4,5)))))</f>
        <v/>
      </c>
      <c r="X11" s="16"/>
      <c r="Y11" s="16"/>
      <c r="Z11" s="16"/>
      <c r="AA11" s="16"/>
      <c r="AB11" s="16"/>
      <c r="AC11" s="16"/>
      <c r="AD11" s="16"/>
      <c r="AE11" s="16"/>
      <c r="AF11" s="15" t="str">
        <f aca="false">IF(AB11&lt;&gt;"",AB11,IF('MEUS PROCESSOS'!N11="Alto",Sug_Alto,IF('MEUS PROCESSOS'!N11="Médio",Sug_Medio,IF('MEUS PROCESSOS'!N11="Baixo",Sug_Baixo,""))))</f>
        <v/>
      </c>
      <c r="AG11" s="15" t="str">
        <f aca="false">IF(AC11&lt;&gt;"",AC11,IF('MEUS PROCESSOS'!O11="Alto",Sug_Alto,IF('MEUS PROCESSOS'!O11="Médio",Sug_Medio,IF('MEUS PROCESSOS'!O11="Baixo",Sug_Baixo,""))))</f>
        <v/>
      </c>
      <c r="AH11" s="15" t="str">
        <f aca="false">IF(B11="","",IF(AND(AB11&lt;&gt;"",AC11&lt;&gt;""),"Avaliado pela empresa",IF(AND(AB11="",AC11="",'MEUS PROCESSOS'!N11&lt;&gt;""),"Sugestão da biblioteca",IF('MEUS PROCESSOS'!N11&lt;&gt;"","Parcialmente sugerido",IF(AND(AB11="",AC11=""),"","Avaliado pela empresa")))))</f>
        <v/>
      </c>
      <c r="AI11" s="18" t="str">
        <f aca="false">IF(B11="","",IF(AND((COUNTBLANK(X11:AA11)+COUNTBLANK(AD11:AE11)+(AF11="")*1+(AG11="")*1)=0,W11&lt;&gt;""),"Completo","Incompleto — faltam "&amp;IF((COUNTBLANK(X11:AA11)+COUNTBLANK(AD11:AE11)+(AF11="")*1+(AG11="")*1)&gt;0,(COUNTBLANK(X11:AA11)+COUNTBLANK(AD11:AE11)+(AF11="")*1+(AG11="")*1)&amp;IF((COUNTBLANK(X11:AA11)+COUNTBLANK(AD11:AE11)+(AF11="")*1+(AG11="")*1)=1," avaliação"," avaliações"),"")&amp;IF(AND((COUNTBLANK(X11:AA11)+COUNTBLANK(AD11:AE11)+(AF11="")*1+(AG11="")*1)&gt;0,W11=""), " e ","")&amp;IF(W11="","os dados de custo","")))</f>
        <v/>
      </c>
      <c r="AJ11" s="29" t="str">
        <f aca="false">IF($AI11&lt;&gt;"Completo","",W_Custo*(W11-1)/4+W_Imp*(X11-1)/4)</f>
        <v/>
      </c>
      <c r="AK11" s="29" t="str">
        <f aca="false">IF($AI11&lt;&gt;"Completo","",W_Pot*(MAX(AF11,AG11)-1)/4+W_Rep*(Y11-1)/4+W_Pad*(Z11-1)/4+W_Vol*(AA11-1)/4)</f>
        <v/>
      </c>
      <c r="AL11" s="29" t="str">
        <f aca="false">IF($AI11&lt;&gt;"Completo","",(1-F_Pen*(AE11-1)/4)*(1-F_Pen*(AD11-1)/4))</f>
        <v/>
      </c>
      <c r="AM11" s="29" t="str">
        <f aca="false">IF($AI11&lt;&gt;"Completo","",SQRT(AK11*AL11))</f>
        <v/>
      </c>
      <c r="AN11" s="30" t="str">
        <f aca="false">IF($AI11&lt;&gt;"Completo","",100*AJ11^Exp_V*AM11^Exp_Vb)</f>
        <v/>
      </c>
      <c r="AO11" s="15" t="str">
        <f aca="false">IF(AN11="","",IF(AJ11&gt;=Corte,IF(AM11&gt;=Corte,"Fazer primeiro","Projeto estratégico"),IF(AM11&gt;=Corte,"Quick win","Evitar")))</f>
        <v/>
      </c>
      <c r="AP11" s="15" t="str">
        <f aca="false">IF(AN11="","",IF(OR(AD11&gt;=Trava_Nota,AE11&gt;=Trava_Nota),"SIM","—"))</f>
        <v/>
      </c>
      <c r="AQ11" s="15" t="str">
        <f aca="false">IF(AN11="","",IF(MAX(AF11,AG11)&lt;=Rota_Nota,"SIM","—"))</f>
        <v/>
      </c>
      <c r="AR11" s="15" t="str">
        <f aca="false">IF(AN11="","",IF(Z11&lt;=Rota_Nota,"SIM","—"))</f>
        <v/>
      </c>
      <c r="AS11" s="15" t="str">
        <f aca="false">IF(AN11="","",IF(AP11="SIM",IF(AJ11&gt;=Corte,"Projeto estratégico","Evitar"),AO11))</f>
        <v/>
      </c>
      <c r="AT11" s="15" t="str">
        <f aca="false">IF(AN11="","",IF(OR(AND(AJ11&gt;=Fr_Min,AJ11&lt;=Fr_Max),AND(AM11&gt;=Fr_Min,AM11&lt;=Fr_Max)),"Revisar",""))</f>
        <v/>
      </c>
      <c r="AU11" s="15" t="str">
        <f aca="false">IF(BE11="","",COUNTIF($BE$6:$BE$105,"&gt;"&amp;BE11)+1)</f>
        <v/>
      </c>
      <c r="AV11" s="16"/>
      <c r="AW11" s="15" t="str">
        <f aca="false">IF(B11="","",IF(AV11&lt;&gt;"",AV11,'MEUS PROCESSOS'!M11))</f>
        <v/>
      </c>
      <c r="AX11" s="23"/>
      <c r="AY11" s="31" t="str">
        <f aca="false">IF(AW11="","",IF(AX11&lt;&gt;"",AX11,IF(AW11="S",Red_S,IF(AW11="P",Red_P,IF(AW11="A",Red_A,IF(AW11="IA",Red_IA,""))))))</f>
        <v/>
      </c>
      <c r="AZ11" s="27" t="str">
        <f aca="false">IF(OR(V11="",AY11=""),"",(T11+U11)*AY11)</f>
        <v/>
      </c>
      <c r="BA11" s="27" t="str">
        <f aca="false">IF(OR(V11="",AY11=""),"",(R11+S11)*AY11)</f>
        <v/>
      </c>
      <c r="BB11" s="27" t="str">
        <f aca="false">IF(AZ11="","",AZ11+BA11)</f>
        <v/>
      </c>
      <c r="BC11" s="27" t="str">
        <f aca="false">IF(OR(P11="",AY11=""),"",(P11*(1+N(J11))+N(M11))*12*AY11)</f>
        <v/>
      </c>
      <c r="BD11" s="18" t="str">
        <f aca="false">IF(B11="","",IF(AND(AW11="E",AX11=""),"Eliminar: informe quanto do esforço atual deixa de existir (0% a 100%). Não há percentual inicial sugerido.",IF(AND(AX11="",AY11&lt;&gt;""),"Redução pela faixa inicial para simulação","")))</f>
        <v/>
      </c>
      <c r="BE11" s="19" t="str">
        <f aca="false">IF(AND(AN11&lt;&gt;"",D11=1),AN11+(1000-A11)/1000000,"")</f>
        <v/>
      </c>
    </row>
    <row r="12" customFormat="false" ht="15" hidden="false" customHeight="false" outlineLevel="0" collapsed="false">
      <c r="A12" s="15" t="n">
        <v>7</v>
      </c>
      <c r="B12" s="18" t="str">
        <f aca="false">IF('MEUS PROCESSOS'!J12="","",'MEUS PROCESSOS'!J12)</f>
        <v/>
      </c>
      <c r="C12" s="15" t="str">
        <f aca="false">IF('MEUS PROCESSOS'!K12="","",'MEUS PROCESSOS'!K12)</f>
        <v/>
      </c>
      <c r="D12" s="19" t="n">
        <f aca="false">'MEUS PROCESSOS'!Q12</f>
        <v>0</v>
      </c>
      <c r="E12" s="16"/>
      <c r="F12" s="16"/>
      <c r="G12" s="16"/>
      <c r="H12" s="16"/>
      <c r="I12" s="22"/>
      <c r="J12" s="23"/>
      <c r="K12" s="16"/>
      <c r="L12" s="24"/>
      <c r="M12" s="16"/>
      <c r="N12" s="24"/>
      <c r="O12" s="25" t="str">
        <f aca="false">IF(OR(E12="",F12=""),"",F12*IF(E12="Diária",Mult_Diaria,IF(E12="Semanal",Mult_Semanal,1)))</f>
        <v/>
      </c>
      <c r="P12" s="25" t="str">
        <f aca="false">IF(OR(O12="",G12="",H12=""),"",O12*G12/60*H12)</f>
        <v/>
      </c>
      <c r="Q12" s="26" t="str">
        <f aca="false">IF(I12&lt;&gt;"",I12,IF(Custo_Hora_Padrao&lt;&gt;"",Custo_Hora_Padrao,""))</f>
        <v/>
      </c>
      <c r="R12" s="27" t="str">
        <f aca="false">IF(OR(P12="",Q12=""),"",P12*Q12*12)</f>
        <v/>
      </c>
      <c r="S12" s="27" t="str">
        <f aca="false">IF(R12="","",R12*N(J12))</f>
        <v/>
      </c>
      <c r="T12" s="27" t="str">
        <f aca="false">IF(R12="","",N(K12)*N(L12)*12)</f>
        <v/>
      </c>
      <c r="U12" s="27" t="str">
        <f aca="false">IF(R12="","",(N(M12)*Q12*HE_Fator+N(N12))*12)</f>
        <v/>
      </c>
      <c r="V12" s="28" t="str">
        <f aca="false">IF(R12="","",R12+S12+T12+U12)</f>
        <v/>
      </c>
      <c r="W12" s="15" t="str">
        <f aca="false">IF(V12="","",IF(V12&lt;=Faixa_1,1,IF(V12&lt;=Faixa_2,2,IF(V12&lt;=Faixa_3,3,IF(V12&lt;=Faixa_4,4,5)))))</f>
        <v/>
      </c>
      <c r="X12" s="16"/>
      <c r="Y12" s="16"/>
      <c r="Z12" s="16"/>
      <c r="AA12" s="16"/>
      <c r="AB12" s="16"/>
      <c r="AC12" s="16"/>
      <c r="AD12" s="16"/>
      <c r="AE12" s="16"/>
      <c r="AF12" s="15" t="str">
        <f aca="false">IF(AB12&lt;&gt;"",AB12,IF('MEUS PROCESSOS'!N12="Alto",Sug_Alto,IF('MEUS PROCESSOS'!N12="Médio",Sug_Medio,IF('MEUS PROCESSOS'!N12="Baixo",Sug_Baixo,""))))</f>
        <v/>
      </c>
      <c r="AG12" s="15" t="str">
        <f aca="false">IF(AC12&lt;&gt;"",AC12,IF('MEUS PROCESSOS'!O12="Alto",Sug_Alto,IF('MEUS PROCESSOS'!O12="Médio",Sug_Medio,IF('MEUS PROCESSOS'!O12="Baixo",Sug_Baixo,""))))</f>
        <v/>
      </c>
      <c r="AH12" s="15" t="str">
        <f aca="false">IF(B12="","",IF(AND(AB12&lt;&gt;"",AC12&lt;&gt;""),"Avaliado pela empresa",IF(AND(AB12="",AC12="",'MEUS PROCESSOS'!N12&lt;&gt;""),"Sugestão da biblioteca",IF('MEUS PROCESSOS'!N12&lt;&gt;"","Parcialmente sugerido",IF(AND(AB12="",AC12=""),"","Avaliado pela empresa")))))</f>
        <v/>
      </c>
      <c r="AI12" s="18" t="str">
        <f aca="false">IF(B12="","",IF(AND((COUNTBLANK(X12:AA12)+COUNTBLANK(AD12:AE12)+(AF12="")*1+(AG12="")*1)=0,W12&lt;&gt;""),"Completo","Incompleto — faltam "&amp;IF((COUNTBLANK(X12:AA12)+COUNTBLANK(AD12:AE12)+(AF12="")*1+(AG12="")*1)&gt;0,(COUNTBLANK(X12:AA12)+COUNTBLANK(AD12:AE12)+(AF12="")*1+(AG12="")*1)&amp;IF((COUNTBLANK(X12:AA12)+COUNTBLANK(AD12:AE12)+(AF12="")*1+(AG12="")*1)=1," avaliação"," avaliações"),"")&amp;IF(AND((COUNTBLANK(X12:AA12)+COUNTBLANK(AD12:AE12)+(AF12="")*1+(AG12="")*1)&gt;0,W12=""), " e ","")&amp;IF(W12="","os dados de custo","")))</f>
        <v/>
      </c>
      <c r="AJ12" s="29" t="str">
        <f aca="false">IF($AI12&lt;&gt;"Completo","",W_Custo*(W12-1)/4+W_Imp*(X12-1)/4)</f>
        <v/>
      </c>
      <c r="AK12" s="29" t="str">
        <f aca="false">IF($AI12&lt;&gt;"Completo","",W_Pot*(MAX(AF12,AG12)-1)/4+W_Rep*(Y12-1)/4+W_Pad*(Z12-1)/4+W_Vol*(AA12-1)/4)</f>
        <v/>
      </c>
      <c r="AL12" s="29" t="str">
        <f aca="false">IF($AI12&lt;&gt;"Completo","",(1-F_Pen*(AE12-1)/4)*(1-F_Pen*(AD12-1)/4))</f>
        <v/>
      </c>
      <c r="AM12" s="29" t="str">
        <f aca="false">IF($AI12&lt;&gt;"Completo","",SQRT(AK12*AL12))</f>
        <v/>
      </c>
      <c r="AN12" s="30" t="str">
        <f aca="false">IF($AI12&lt;&gt;"Completo","",100*AJ12^Exp_V*AM12^Exp_Vb)</f>
        <v/>
      </c>
      <c r="AO12" s="15" t="str">
        <f aca="false">IF(AN12="","",IF(AJ12&gt;=Corte,IF(AM12&gt;=Corte,"Fazer primeiro","Projeto estratégico"),IF(AM12&gt;=Corte,"Quick win","Evitar")))</f>
        <v/>
      </c>
      <c r="AP12" s="15" t="str">
        <f aca="false">IF(AN12="","",IF(OR(AD12&gt;=Trava_Nota,AE12&gt;=Trava_Nota),"SIM","—"))</f>
        <v/>
      </c>
      <c r="AQ12" s="15" t="str">
        <f aca="false">IF(AN12="","",IF(MAX(AF12,AG12)&lt;=Rota_Nota,"SIM","—"))</f>
        <v/>
      </c>
      <c r="AR12" s="15" t="str">
        <f aca="false">IF(AN12="","",IF(Z12&lt;=Rota_Nota,"SIM","—"))</f>
        <v/>
      </c>
      <c r="AS12" s="15" t="str">
        <f aca="false">IF(AN12="","",IF(AP12="SIM",IF(AJ12&gt;=Corte,"Projeto estratégico","Evitar"),AO12))</f>
        <v/>
      </c>
      <c r="AT12" s="15" t="str">
        <f aca="false">IF(AN12="","",IF(OR(AND(AJ12&gt;=Fr_Min,AJ12&lt;=Fr_Max),AND(AM12&gt;=Fr_Min,AM12&lt;=Fr_Max)),"Revisar",""))</f>
        <v/>
      </c>
      <c r="AU12" s="15" t="str">
        <f aca="false">IF(BE12="","",COUNTIF($BE$6:$BE$105,"&gt;"&amp;BE12)+1)</f>
        <v/>
      </c>
      <c r="AV12" s="16"/>
      <c r="AW12" s="15" t="str">
        <f aca="false">IF(B12="","",IF(AV12&lt;&gt;"",AV12,'MEUS PROCESSOS'!M12))</f>
        <v/>
      </c>
      <c r="AX12" s="23"/>
      <c r="AY12" s="31" t="str">
        <f aca="false">IF(AW12="","",IF(AX12&lt;&gt;"",AX12,IF(AW12="S",Red_S,IF(AW12="P",Red_P,IF(AW12="A",Red_A,IF(AW12="IA",Red_IA,""))))))</f>
        <v/>
      </c>
      <c r="AZ12" s="27" t="str">
        <f aca="false">IF(OR(V12="",AY12=""),"",(T12+U12)*AY12)</f>
        <v/>
      </c>
      <c r="BA12" s="27" t="str">
        <f aca="false">IF(OR(V12="",AY12=""),"",(R12+S12)*AY12)</f>
        <v/>
      </c>
      <c r="BB12" s="27" t="str">
        <f aca="false">IF(AZ12="","",AZ12+BA12)</f>
        <v/>
      </c>
      <c r="BC12" s="27" t="str">
        <f aca="false">IF(OR(P12="",AY12=""),"",(P12*(1+N(J12))+N(M12))*12*AY12)</f>
        <v/>
      </c>
      <c r="BD12" s="18" t="str">
        <f aca="false">IF(B12="","",IF(AND(AW12="E",AX12=""),"Eliminar: informe quanto do esforço atual deixa de existir (0% a 100%). Não há percentual inicial sugerido.",IF(AND(AX12="",AY12&lt;&gt;""),"Redução pela faixa inicial para simulação","")))</f>
        <v/>
      </c>
      <c r="BE12" s="19" t="str">
        <f aca="false">IF(AND(AN12&lt;&gt;"",D12=1),AN12+(1000-A12)/1000000,"")</f>
        <v/>
      </c>
    </row>
    <row r="13" customFormat="false" ht="15" hidden="false" customHeight="false" outlineLevel="0" collapsed="false">
      <c r="A13" s="15" t="n">
        <v>8</v>
      </c>
      <c r="B13" s="18" t="str">
        <f aca="false">IF('MEUS PROCESSOS'!J13="","",'MEUS PROCESSOS'!J13)</f>
        <v/>
      </c>
      <c r="C13" s="15" t="str">
        <f aca="false">IF('MEUS PROCESSOS'!K13="","",'MEUS PROCESSOS'!K13)</f>
        <v/>
      </c>
      <c r="D13" s="19" t="n">
        <f aca="false">'MEUS PROCESSOS'!Q13</f>
        <v>0</v>
      </c>
      <c r="E13" s="16"/>
      <c r="F13" s="16"/>
      <c r="G13" s="16"/>
      <c r="H13" s="16"/>
      <c r="I13" s="22"/>
      <c r="J13" s="23"/>
      <c r="K13" s="16"/>
      <c r="L13" s="24"/>
      <c r="M13" s="16"/>
      <c r="N13" s="24"/>
      <c r="O13" s="25" t="str">
        <f aca="false">IF(OR(E13="",F13=""),"",F13*IF(E13="Diária",Mult_Diaria,IF(E13="Semanal",Mult_Semanal,1)))</f>
        <v/>
      </c>
      <c r="P13" s="25" t="str">
        <f aca="false">IF(OR(O13="",G13="",H13=""),"",O13*G13/60*H13)</f>
        <v/>
      </c>
      <c r="Q13" s="26" t="str">
        <f aca="false">IF(I13&lt;&gt;"",I13,IF(Custo_Hora_Padrao&lt;&gt;"",Custo_Hora_Padrao,""))</f>
        <v/>
      </c>
      <c r="R13" s="27" t="str">
        <f aca="false">IF(OR(P13="",Q13=""),"",P13*Q13*12)</f>
        <v/>
      </c>
      <c r="S13" s="27" t="str">
        <f aca="false">IF(R13="","",R13*N(J13))</f>
        <v/>
      </c>
      <c r="T13" s="27" t="str">
        <f aca="false">IF(R13="","",N(K13)*N(L13)*12)</f>
        <v/>
      </c>
      <c r="U13" s="27" t="str">
        <f aca="false">IF(R13="","",(N(M13)*Q13*HE_Fator+N(N13))*12)</f>
        <v/>
      </c>
      <c r="V13" s="28" t="str">
        <f aca="false">IF(R13="","",R13+S13+T13+U13)</f>
        <v/>
      </c>
      <c r="W13" s="15" t="str">
        <f aca="false">IF(V13="","",IF(V13&lt;=Faixa_1,1,IF(V13&lt;=Faixa_2,2,IF(V13&lt;=Faixa_3,3,IF(V13&lt;=Faixa_4,4,5)))))</f>
        <v/>
      </c>
      <c r="X13" s="16"/>
      <c r="Y13" s="16"/>
      <c r="Z13" s="16"/>
      <c r="AA13" s="16"/>
      <c r="AB13" s="16"/>
      <c r="AC13" s="16"/>
      <c r="AD13" s="16"/>
      <c r="AE13" s="16"/>
      <c r="AF13" s="15" t="str">
        <f aca="false">IF(AB13&lt;&gt;"",AB13,IF('MEUS PROCESSOS'!N13="Alto",Sug_Alto,IF('MEUS PROCESSOS'!N13="Médio",Sug_Medio,IF('MEUS PROCESSOS'!N13="Baixo",Sug_Baixo,""))))</f>
        <v/>
      </c>
      <c r="AG13" s="15" t="str">
        <f aca="false">IF(AC13&lt;&gt;"",AC13,IF('MEUS PROCESSOS'!O13="Alto",Sug_Alto,IF('MEUS PROCESSOS'!O13="Médio",Sug_Medio,IF('MEUS PROCESSOS'!O13="Baixo",Sug_Baixo,""))))</f>
        <v/>
      </c>
      <c r="AH13" s="15" t="str">
        <f aca="false">IF(B13="","",IF(AND(AB13&lt;&gt;"",AC13&lt;&gt;""),"Avaliado pela empresa",IF(AND(AB13="",AC13="",'MEUS PROCESSOS'!N13&lt;&gt;""),"Sugestão da biblioteca",IF('MEUS PROCESSOS'!N13&lt;&gt;"","Parcialmente sugerido",IF(AND(AB13="",AC13=""),"","Avaliado pela empresa")))))</f>
        <v/>
      </c>
      <c r="AI13" s="18" t="str">
        <f aca="false">IF(B13="","",IF(AND((COUNTBLANK(X13:AA13)+COUNTBLANK(AD13:AE13)+(AF13="")*1+(AG13="")*1)=0,W13&lt;&gt;""),"Completo","Incompleto — faltam "&amp;IF((COUNTBLANK(X13:AA13)+COUNTBLANK(AD13:AE13)+(AF13="")*1+(AG13="")*1)&gt;0,(COUNTBLANK(X13:AA13)+COUNTBLANK(AD13:AE13)+(AF13="")*1+(AG13="")*1)&amp;IF((COUNTBLANK(X13:AA13)+COUNTBLANK(AD13:AE13)+(AF13="")*1+(AG13="")*1)=1," avaliação"," avaliações"),"")&amp;IF(AND((COUNTBLANK(X13:AA13)+COUNTBLANK(AD13:AE13)+(AF13="")*1+(AG13="")*1)&gt;0,W13=""), " e ","")&amp;IF(W13="","os dados de custo","")))</f>
        <v/>
      </c>
      <c r="AJ13" s="29" t="str">
        <f aca="false">IF($AI13&lt;&gt;"Completo","",W_Custo*(W13-1)/4+W_Imp*(X13-1)/4)</f>
        <v/>
      </c>
      <c r="AK13" s="29" t="str">
        <f aca="false">IF($AI13&lt;&gt;"Completo","",W_Pot*(MAX(AF13,AG13)-1)/4+W_Rep*(Y13-1)/4+W_Pad*(Z13-1)/4+W_Vol*(AA13-1)/4)</f>
        <v/>
      </c>
      <c r="AL13" s="29" t="str">
        <f aca="false">IF($AI13&lt;&gt;"Completo","",(1-F_Pen*(AE13-1)/4)*(1-F_Pen*(AD13-1)/4))</f>
        <v/>
      </c>
      <c r="AM13" s="29" t="str">
        <f aca="false">IF($AI13&lt;&gt;"Completo","",SQRT(AK13*AL13))</f>
        <v/>
      </c>
      <c r="AN13" s="30" t="str">
        <f aca="false">IF($AI13&lt;&gt;"Completo","",100*AJ13^Exp_V*AM13^Exp_Vb)</f>
        <v/>
      </c>
      <c r="AO13" s="15" t="str">
        <f aca="false">IF(AN13="","",IF(AJ13&gt;=Corte,IF(AM13&gt;=Corte,"Fazer primeiro","Projeto estratégico"),IF(AM13&gt;=Corte,"Quick win","Evitar")))</f>
        <v/>
      </c>
      <c r="AP13" s="15" t="str">
        <f aca="false">IF(AN13="","",IF(OR(AD13&gt;=Trava_Nota,AE13&gt;=Trava_Nota),"SIM","—"))</f>
        <v/>
      </c>
      <c r="AQ13" s="15" t="str">
        <f aca="false">IF(AN13="","",IF(MAX(AF13,AG13)&lt;=Rota_Nota,"SIM","—"))</f>
        <v/>
      </c>
      <c r="AR13" s="15" t="str">
        <f aca="false">IF(AN13="","",IF(Z13&lt;=Rota_Nota,"SIM","—"))</f>
        <v/>
      </c>
      <c r="AS13" s="15" t="str">
        <f aca="false">IF(AN13="","",IF(AP13="SIM",IF(AJ13&gt;=Corte,"Projeto estratégico","Evitar"),AO13))</f>
        <v/>
      </c>
      <c r="AT13" s="15" t="str">
        <f aca="false">IF(AN13="","",IF(OR(AND(AJ13&gt;=Fr_Min,AJ13&lt;=Fr_Max),AND(AM13&gt;=Fr_Min,AM13&lt;=Fr_Max)),"Revisar",""))</f>
        <v/>
      </c>
      <c r="AU13" s="15" t="str">
        <f aca="false">IF(BE13="","",COUNTIF($BE$6:$BE$105,"&gt;"&amp;BE13)+1)</f>
        <v/>
      </c>
      <c r="AV13" s="16"/>
      <c r="AW13" s="15" t="str">
        <f aca="false">IF(B13="","",IF(AV13&lt;&gt;"",AV13,'MEUS PROCESSOS'!M13))</f>
        <v/>
      </c>
      <c r="AX13" s="23"/>
      <c r="AY13" s="31" t="str">
        <f aca="false">IF(AW13="","",IF(AX13&lt;&gt;"",AX13,IF(AW13="S",Red_S,IF(AW13="P",Red_P,IF(AW13="A",Red_A,IF(AW13="IA",Red_IA,""))))))</f>
        <v/>
      </c>
      <c r="AZ13" s="27" t="str">
        <f aca="false">IF(OR(V13="",AY13=""),"",(T13+U13)*AY13)</f>
        <v/>
      </c>
      <c r="BA13" s="27" t="str">
        <f aca="false">IF(OR(V13="",AY13=""),"",(R13+S13)*AY13)</f>
        <v/>
      </c>
      <c r="BB13" s="27" t="str">
        <f aca="false">IF(AZ13="","",AZ13+BA13)</f>
        <v/>
      </c>
      <c r="BC13" s="27" t="str">
        <f aca="false">IF(OR(P13="",AY13=""),"",(P13*(1+N(J13))+N(M13))*12*AY13)</f>
        <v/>
      </c>
      <c r="BD13" s="18" t="str">
        <f aca="false">IF(B13="","",IF(AND(AW13="E",AX13=""),"Eliminar: informe quanto do esforço atual deixa de existir (0% a 100%). Não há percentual inicial sugerido.",IF(AND(AX13="",AY13&lt;&gt;""),"Redução pela faixa inicial para simulação","")))</f>
        <v/>
      </c>
      <c r="BE13" s="19" t="str">
        <f aca="false">IF(AND(AN13&lt;&gt;"",D13=1),AN13+(1000-A13)/1000000,"")</f>
        <v/>
      </c>
    </row>
    <row r="14" customFormat="false" ht="15" hidden="false" customHeight="false" outlineLevel="0" collapsed="false">
      <c r="A14" s="15" t="n">
        <v>9</v>
      </c>
      <c r="B14" s="18" t="str">
        <f aca="false">IF('MEUS PROCESSOS'!J14="","",'MEUS PROCESSOS'!J14)</f>
        <v/>
      </c>
      <c r="C14" s="15" t="str">
        <f aca="false">IF('MEUS PROCESSOS'!K14="","",'MEUS PROCESSOS'!K14)</f>
        <v/>
      </c>
      <c r="D14" s="19" t="n">
        <f aca="false">'MEUS PROCESSOS'!Q14</f>
        <v>0</v>
      </c>
      <c r="E14" s="16"/>
      <c r="F14" s="16"/>
      <c r="G14" s="16"/>
      <c r="H14" s="16"/>
      <c r="I14" s="22"/>
      <c r="J14" s="23"/>
      <c r="K14" s="16"/>
      <c r="L14" s="24"/>
      <c r="M14" s="16"/>
      <c r="N14" s="24"/>
      <c r="O14" s="25" t="str">
        <f aca="false">IF(OR(E14="",F14=""),"",F14*IF(E14="Diária",Mult_Diaria,IF(E14="Semanal",Mult_Semanal,1)))</f>
        <v/>
      </c>
      <c r="P14" s="25" t="str">
        <f aca="false">IF(OR(O14="",G14="",H14=""),"",O14*G14/60*H14)</f>
        <v/>
      </c>
      <c r="Q14" s="26" t="str">
        <f aca="false">IF(I14&lt;&gt;"",I14,IF(Custo_Hora_Padrao&lt;&gt;"",Custo_Hora_Padrao,""))</f>
        <v/>
      </c>
      <c r="R14" s="27" t="str">
        <f aca="false">IF(OR(P14="",Q14=""),"",P14*Q14*12)</f>
        <v/>
      </c>
      <c r="S14" s="27" t="str">
        <f aca="false">IF(R14="","",R14*N(J14))</f>
        <v/>
      </c>
      <c r="T14" s="27" t="str">
        <f aca="false">IF(R14="","",N(K14)*N(L14)*12)</f>
        <v/>
      </c>
      <c r="U14" s="27" t="str">
        <f aca="false">IF(R14="","",(N(M14)*Q14*HE_Fator+N(N14))*12)</f>
        <v/>
      </c>
      <c r="V14" s="28" t="str">
        <f aca="false">IF(R14="","",R14+S14+T14+U14)</f>
        <v/>
      </c>
      <c r="W14" s="15" t="str">
        <f aca="false">IF(V14="","",IF(V14&lt;=Faixa_1,1,IF(V14&lt;=Faixa_2,2,IF(V14&lt;=Faixa_3,3,IF(V14&lt;=Faixa_4,4,5)))))</f>
        <v/>
      </c>
      <c r="X14" s="16"/>
      <c r="Y14" s="16"/>
      <c r="Z14" s="16"/>
      <c r="AA14" s="16"/>
      <c r="AB14" s="16"/>
      <c r="AC14" s="16"/>
      <c r="AD14" s="16"/>
      <c r="AE14" s="16"/>
      <c r="AF14" s="15" t="str">
        <f aca="false">IF(AB14&lt;&gt;"",AB14,IF('MEUS PROCESSOS'!N14="Alto",Sug_Alto,IF('MEUS PROCESSOS'!N14="Médio",Sug_Medio,IF('MEUS PROCESSOS'!N14="Baixo",Sug_Baixo,""))))</f>
        <v/>
      </c>
      <c r="AG14" s="15" t="str">
        <f aca="false">IF(AC14&lt;&gt;"",AC14,IF('MEUS PROCESSOS'!O14="Alto",Sug_Alto,IF('MEUS PROCESSOS'!O14="Médio",Sug_Medio,IF('MEUS PROCESSOS'!O14="Baixo",Sug_Baixo,""))))</f>
        <v/>
      </c>
      <c r="AH14" s="15" t="str">
        <f aca="false">IF(B14="","",IF(AND(AB14&lt;&gt;"",AC14&lt;&gt;""),"Avaliado pela empresa",IF(AND(AB14="",AC14="",'MEUS PROCESSOS'!N14&lt;&gt;""),"Sugestão da biblioteca",IF('MEUS PROCESSOS'!N14&lt;&gt;"","Parcialmente sugerido",IF(AND(AB14="",AC14=""),"","Avaliado pela empresa")))))</f>
        <v/>
      </c>
      <c r="AI14" s="18" t="str">
        <f aca="false">IF(B14="","",IF(AND((COUNTBLANK(X14:AA14)+COUNTBLANK(AD14:AE14)+(AF14="")*1+(AG14="")*1)=0,W14&lt;&gt;""),"Completo","Incompleto — faltam "&amp;IF((COUNTBLANK(X14:AA14)+COUNTBLANK(AD14:AE14)+(AF14="")*1+(AG14="")*1)&gt;0,(COUNTBLANK(X14:AA14)+COUNTBLANK(AD14:AE14)+(AF14="")*1+(AG14="")*1)&amp;IF((COUNTBLANK(X14:AA14)+COUNTBLANK(AD14:AE14)+(AF14="")*1+(AG14="")*1)=1," avaliação"," avaliações"),"")&amp;IF(AND((COUNTBLANK(X14:AA14)+COUNTBLANK(AD14:AE14)+(AF14="")*1+(AG14="")*1)&gt;0,W14=""), " e ","")&amp;IF(W14="","os dados de custo","")))</f>
        <v/>
      </c>
      <c r="AJ14" s="29" t="str">
        <f aca="false">IF($AI14&lt;&gt;"Completo","",W_Custo*(W14-1)/4+W_Imp*(X14-1)/4)</f>
        <v/>
      </c>
      <c r="AK14" s="29" t="str">
        <f aca="false">IF($AI14&lt;&gt;"Completo","",W_Pot*(MAX(AF14,AG14)-1)/4+W_Rep*(Y14-1)/4+W_Pad*(Z14-1)/4+W_Vol*(AA14-1)/4)</f>
        <v/>
      </c>
      <c r="AL14" s="29" t="str">
        <f aca="false">IF($AI14&lt;&gt;"Completo","",(1-F_Pen*(AE14-1)/4)*(1-F_Pen*(AD14-1)/4))</f>
        <v/>
      </c>
      <c r="AM14" s="29" t="str">
        <f aca="false">IF($AI14&lt;&gt;"Completo","",SQRT(AK14*AL14))</f>
        <v/>
      </c>
      <c r="AN14" s="30" t="str">
        <f aca="false">IF($AI14&lt;&gt;"Completo","",100*AJ14^Exp_V*AM14^Exp_Vb)</f>
        <v/>
      </c>
      <c r="AO14" s="15" t="str">
        <f aca="false">IF(AN14="","",IF(AJ14&gt;=Corte,IF(AM14&gt;=Corte,"Fazer primeiro","Projeto estratégico"),IF(AM14&gt;=Corte,"Quick win","Evitar")))</f>
        <v/>
      </c>
      <c r="AP14" s="15" t="str">
        <f aca="false">IF(AN14="","",IF(OR(AD14&gt;=Trava_Nota,AE14&gt;=Trava_Nota),"SIM","—"))</f>
        <v/>
      </c>
      <c r="AQ14" s="15" t="str">
        <f aca="false">IF(AN14="","",IF(MAX(AF14,AG14)&lt;=Rota_Nota,"SIM","—"))</f>
        <v/>
      </c>
      <c r="AR14" s="15" t="str">
        <f aca="false">IF(AN14="","",IF(Z14&lt;=Rota_Nota,"SIM","—"))</f>
        <v/>
      </c>
      <c r="AS14" s="15" t="str">
        <f aca="false">IF(AN14="","",IF(AP14="SIM",IF(AJ14&gt;=Corte,"Projeto estratégico","Evitar"),AO14))</f>
        <v/>
      </c>
      <c r="AT14" s="15" t="str">
        <f aca="false">IF(AN14="","",IF(OR(AND(AJ14&gt;=Fr_Min,AJ14&lt;=Fr_Max),AND(AM14&gt;=Fr_Min,AM14&lt;=Fr_Max)),"Revisar",""))</f>
        <v/>
      </c>
      <c r="AU14" s="15" t="str">
        <f aca="false">IF(BE14="","",COUNTIF($BE$6:$BE$105,"&gt;"&amp;BE14)+1)</f>
        <v/>
      </c>
      <c r="AV14" s="16"/>
      <c r="AW14" s="15" t="str">
        <f aca="false">IF(B14="","",IF(AV14&lt;&gt;"",AV14,'MEUS PROCESSOS'!M14))</f>
        <v/>
      </c>
      <c r="AX14" s="23"/>
      <c r="AY14" s="31" t="str">
        <f aca="false">IF(AW14="","",IF(AX14&lt;&gt;"",AX14,IF(AW14="S",Red_S,IF(AW14="P",Red_P,IF(AW14="A",Red_A,IF(AW14="IA",Red_IA,""))))))</f>
        <v/>
      </c>
      <c r="AZ14" s="27" t="str">
        <f aca="false">IF(OR(V14="",AY14=""),"",(T14+U14)*AY14)</f>
        <v/>
      </c>
      <c r="BA14" s="27" t="str">
        <f aca="false">IF(OR(V14="",AY14=""),"",(R14+S14)*AY14)</f>
        <v/>
      </c>
      <c r="BB14" s="27" t="str">
        <f aca="false">IF(AZ14="","",AZ14+BA14)</f>
        <v/>
      </c>
      <c r="BC14" s="27" t="str">
        <f aca="false">IF(OR(P14="",AY14=""),"",(P14*(1+N(J14))+N(M14))*12*AY14)</f>
        <v/>
      </c>
      <c r="BD14" s="18" t="str">
        <f aca="false">IF(B14="","",IF(AND(AW14="E",AX14=""),"Eliminar: informe quanto do esforço atual deixa de existir (0% a 100%). Não há percentual inicial sugerido.",IF(AND(AX14="",AY14&lt;&gt;""),"Redução pela faixa inicial para simulação","")))</f>
        <v/>
      </c>
      <c r="BE14" s="19" t="str">
        <f aca="false">IF(AND(AN14&lt;&gt;"",D14=1),AN14+(1000-A14)/1000000,"")</f>
        <v/>
      </c>
    </row>
    <row r="15" customFormat="false" ht="15" hidden="false" customHeight="false" outlineLevel="0" collapsed="false">
      <c r="A15" s="15" t="n">
        <v>10</v>
      </c>
      <c r="B15" s="18" t="str">
        <f aca="false">IF('MEUS PROCESSOS'!J15="","",'MEUS PROCESSOS'!J15)</f>
        <v/>
      </c>
      <c r="C15" s="15" t="str">
        <f aca="false">IF('MEUS PROCESSOS'!K15="","",'MEUS PROCESSOS'!K15)</f>
        <v/>
      </c>
      <c r="D15" s="19" t="n">
        <f aca="false">'MEUS PROCESSOS'!Q15</f>
        <v>0</v>
      </c>
      <c r="E15" s="16"/>
      <c r="F15" s="16"/>
      <c r="G15" s="16"/>
      <c r="H15" s="16"/>
      <c r="I15" s="22"/>
      <c r="J15" s="23"/>
      <c r="K15" s="16"/>
      <c r="L15" s="24"/>
      <c r="M15" s="16"/>
      <c r="N15" s="24"/>
      <c r="O15" s="25" t="str">
        <f aca="false">IF(OR(E15="",F15=""),"",F15*IF(E15="Diária",Mult_Diaria,IF(E15="Semanal",Mult_Semanal,1)))</f>
        <v/>
      </c>
      <c r="P15" s="25" t="str">
        <f aca="false">IF(OR(O15="",G15="",H15=""),"",O15*G15/60*H15)</f>
        <v/>
      </c>
      <c r="Q15" s="26" t="str">
        <f aca="false">IF(I15&lt;&gt;"",I15,IF(Custo_Hora_Padrao&lt;&gt;"",Custo_Hora_Padrao,""))</f>
        <v/>
      </c>
      <c r="R15" s="27" t="str">
        <f aca="false">IF(OR(P15="",Q15=""),"",P15*Q15*12)</f>
        <v/>
      </c>
      <c r="S15" s="27" t="str">
        <f aca="false">IF(R15="","",R15*N(J15))</f>
        <v/>
      </c>
      <c r="T15" s="27" t="str">
        <f aca="false">IF(R15="","",N(K15)*N(L15)*12)</f>
        <v/>
      </c>
      <c r="U15" s="27" t="str">
        <f aca="false">IF(R15="","",(N(M15)*Q15*HE_Fator+N(N15))*12)</f>
        <v/>
      </c>
      <c r="V15" s="28" t="str">
        <f aca="false">IF(R15="","",R15+S15+T15+U15)</f>
        <v/>
      </c>
      <c r="W15" s="15" t="str">
        <f aca="false">IF(V15="","",IF(V15&lt;=Faixa_1,1,IF(V15&lt;=Faixa_2,2,IF(V15&lt;=Faixa_3,3,IF(V15&lt;=Faixa_4,4,5)))))</f>
        <v/>
      </c>
      <c r="X15" s="16"/>
      <c r="Y15" s="16"/>
      <c r="Z15" s="16"/>
      <c r="AA15" s="16"/>
      <c r="AB15" s="16"/>
      <c r="AC15" s="16"/>
      <c r="AD15" s="16"/>
      <c r="AE15" s="16"/>
      <c r="AF15" s="15" t="str">
        <f aca="false">IF(AB15&lt;&gt;"",AB15,IF('MEUS PROCESSOS'!N15="Alto",Sug_Alto,IF('MEUS PROCESSOS'!N15="Médio",Sug_Medio,IF('MEUS PROCESSOS'!N15="Baixo",Sug_Baixo,""))))</f>
        <v/>
      </c>
      <c r="AG15" s="15" t="str">
        <f aca="false">IF(AC15&lt;&gt;"",AC15,IF('MEUS PROCESSOS'!O15="Alto",Sug_Alto,IF('MEUS PROCESSOS'!O15="Médio",Sug_Medio,IF('MEUS PROCESSOS'!O15="Baixo",Sug_Baixo,""))))</f>
        <v/>
      </c>
      <c r="AH15" s="15" t="str">
        <f aca="false">IF(B15="","",IF(AND(AB15&lt;&gt;"",AC15&lt;&gt;""),"Avaliado pela empresa",IF(AND(AB15="",AC15="",'MEUS PROCESSOS'!N15&lt;&gt;""),"Sugestão da biblioteca",IF('MEUS PROCESSOS'!N15&lt;&gt;"","Parcialmente sugerido",IF(AND(AB15="",AC15=""),"","Avaliado pela empresa")))))</f>
        <v/>
      </c>
      <c r="AI15" s="18" t="str">
        <f aca="false">IF(B15="","",IF(AND((COUNTBLANK(X15:AA15)+COUNTBLANK(AD15:AE15)+(AF15="")*1+(AG15="")*1)=0,W15&lt;&gt;""),"Completo","Incompleto — faltam "&amp;IF((COUNTBLANK(X15:AA15)+COUNTBLANK(AD15:AE15)+(AF15="")*1+(AG15="")*1)&gt;0,(COUNTBLANK(X15:AA15)+COUNTBLANK(AD15:AE15)+(AF15="")*1+(AG15="")*1)&amp;IF((COUNTBLANK(X15:AA15)+COUNTBLANK(AD15:AE15)+(AF15="")*1+(AG15="")*1)=1," avaliação"," avaliações"),"")&amp;IF(AND((COUNTBLANK(X15:AA15)+COUNTBLANK(AD15:AE15)+(AF15="")*1+(AG15="")*1)&gt;0,W15=""), " e ","")&amp;IF(W15="","os dados de custo","")))</f>
        <v/>
      </c>
      <c r="AJ15" s="29" t="str">
        <f aca="false">IF($AI15&lt;&gt;"Completo","",W_Custo*(W15-1)/4+W_Imp*(X15-1)/4)</f>
        <v/>
      </c>
      <c r="AK15" s="29" t="str">
        <f aca="false">IF($AI15&lt;&gt;"Completo","",W_Pot*(MAX(AF15,AG15)-1)/4+W_Rep*(Y15-1)/4+W_Pad*(Z15-1)/4+W_Vol*(AA15-1)/4)</f>
        <v/>
      </c>
      <c r="AL15" s="29" t="str">
        <f aca="false">IF($AI15&lt;&gt;"Completo","",(1-F_Pen*(AE15-1)/4)*(1-F_Pen*(AD15-1)/4))</f>
        <v/>
      </c>
      <c r="AM15" s="29" t="str">
        <f aca="false">IF($AI15&lt;&gt;"Completo","",SQRT(AK15*AL15))</f>
        <v/>
      </c>
      <c r="AN15" s="30" t="str">
        <f aca="false">IF($AI15&lt;&gt;"Completo","",100*AJ15^Exp_V*AM15^Exp_Vb)</f>
        <v/>
      </c>
      <c r="AO15" s="15" t="str">
        <f aca="false">IF(AN15="","",IF(AJ15&gt;=Corte,IF(AM15&gt;=Corte,"Fazer primeiro","Projeto estratégico"),IF(AM15&gt;=Corte,"Quick win","Evitar")))</f>
        <v/>
      </c>
      <c r="AP15" s="15" t="str">
        <f aca="false">IF(AN15="","",IF(OR(AD15&gt;=Trava_Nota,AE15&gt;=Trava_Nota),"SIM","—"))</f>
        <v/>
      </c>
      <c r="AQ15" s="15" t="str">
        <f aca="false">IF(AN15="","",IF(MAX(AF15,AG15)&lt;=Rota_Nota,"SIM","—"))</f>
        <v/>
      </c>
      <c r="AR15" s="15" t="str">
        <f aca="false">IF(AN15="","",IF(Z15&lt;=Rota_Nota,"SIM","—"))</f>
        <v/>
      </c>
      <c r="AS15" s="15" t="str">
        <f aca="false">IF(AN15="","",IF(AP15="SIM",IF(AJ15&gt;=Corte,"Projeto estratégico","Evitar"),AO15))</f>
        <v/>
      </c>
      <c r="AT15" s="15" t="str">
        <f aca="false">IF(AN15="","",IF(OR(AND(AJ15&gt;=Fr_Min,AJ15&lt;=Fr_Max),AND(AM15&gt;=Fr_Min,AM15&lt;=Fr_Max)),"Revisar",""))</f>
        <v/>
      </c>
      <c r="AU15" s="15" t="str">
        <f aca="false">IF(BE15="","",COUNTIF($BE$6:$BE$105,"&gt;"&amp;BE15)+1)</f>
        <v/>
      </c>
      <c r="AV15" s="16"/>
      <c r="AW15" s="15" t="str">
        <f aca="false">IF(B15="","",IF(AV15&lt;&gt;"",AV15,'MEUS PROCESSOS'!M15))</f>
        <v/>
      </c>
      <c r="AX15" s="23"/>
      <c r="AY15" s="31" t="str">
        <f aca="false">IF(AW15="","",IF(AX15&lt;&gt;"",AX15,IF(AW15="S",Red_S,IF(AW15="P",Red_P,IF(AW15="A",Red_A,IF(AW15="IA",Red_IA,""))))))</f>
        <v/>
      </c>
      <c r="AZ15" s="27" t="str">
        <f aca="false">IF(OR(V15="",AY15=""),"",(T15+U15)*AY15)</f>
        <v/>
      </c>
      <c r="BA15" s="27" t="str">
        <f aca="false">IF(OR(V15="",AY15=""),"",(R15+S15)*AY15)</f>
        <v/>
      </c>
      <c r="BB15" s="27" t="str">
        <f aca="false">IF(AZ15="","",AZ15+BA15)</f>
        <v/>
      </c>
      <c r="BC15" s="27" t="str">
        <f aca="false">IF(OR(P15="",AY15=""),"",(P15*(1+N(J15))+N(M15))*12*AY15)</f>
        <v/>
      </c>
      <c r="BD15" s="18" t="str">
        <f aca="false">IF(B15="","",IF(AND(AW15="E",AX15=""),"Eliminar: informe quanto do esforço atual deixa de existir (0% a 100%). Não há percentual inicial sugerido.",IF(AND(AX15="",AY15&lt;&gt;""),"Redução pela faixa inicial para simulação","")))</f>
        <v/>
      </c>
      <c r="BE15" s="19" t="str">
        <f aca="false">IF(AND(AN15&lt;&gt;"",D15=1),AN15+(1000-A15)/1000000,"")</f>
        <v/>
      </c>
    </row>
    <row r="16" customFormat="false" ht="15" hidden="false" customHeight="false" outlineLevel="0" collapsed="false">
      <c r="A16" s="15" t="n">
        <v>11</v>
      </c>
      <c r="B16" s="18" t="str">
        <f aca="false">IF('MEUS PROCESSOS'!J16="","",'MEUS PROCESSOS'!J16)</f>
        <v/>
      </c>
      <c r="C16" s="15" t="str">
        <f aca="false">IF('MEUS PROCESSOS'!K16="","",'MEUS PROCESSOS'!K16)</f>
        <v/>
      </c>
      <c r="D16" s="19" t="n">
        <f aca="false">'MEUS PROCESSOS'!Q16</f>
        <v>0</v>
      </c>
      <c r="E16" s="16"/>
      <c r="F16" s="16"/>
      <c r="G16" s="16"/>
      <c r="H16" s="16"/>
      <c r="I16" s="22"/>
      <c r="J16" s="23"/>
      <c r="K16" s="16"/>
      <c r="L16" s="24"/>
      <c r="M16" s="16"/>
      <c r="N16" s="24"/>
      <c r="O16" s="25" t="str">
        <f aca="false">IF(OR(E16="",F16=""),"",F16*IF(E16="Diária",Mult_Diaria,IF(E16="Semanal",Mult_Semanal,1)))</f>
        <v/>
      </c>
      <c r="P16" s="25" t="str">
        <f aca="false">IF(OR(O16="",G16="",H16=""),"",O16*G16/60*H16)</f>
        <v/>
      </c>
      <c r="Q16" s="26" t="str">
        <f aca="false">IF(I16&lt;&gt;"",I16,IF(Custo_Hora_Padrao&lt;&gt;"",Custo_Hora_Padrao,""))</f>
        <v/>
      </c>
      <c r="R16" s="27" t="str">
        <f aca="false">IF(OR(P16="",Q16=""),"",P16*Q16*12)</f>
        <v/>
      </c>
      <c r="S16" s="27" t="str">
        <f aca="false">IF(R16="","",R16*N(J16))</f>
        <v/>
      </c>
      <c r="T16" s="27" t="str">
        <f aca="false">IF(R16="","",N(K16)*N(L16)*12)</f>
        <v/>
      </c>
      <c r="U16" s="27" t="str">
        <f aca="false">IF(R16="","",(N(M16)*Q16*HE_Fator+N(N16))*12)</f>
        <v/>
      </c>
      <c r="V16" s="28" t="str">
        <f aca="false">IF(R16="","",R16+S16+T16+U16)</f>
        <v/>
      </c>
      <c r="W16" s="15" t="str">
        <f aca="false">IF(V16="","",IF(V16&lt;=Faixa_1,1,IF(V16&lt;=Faixa_2,2,IF(V16&lt;=Faixa_3,3,IF(V16&lt;=Faixa_4,4,5)))))</f>
        <v/>
      </c>
      <c r="X16" s="16"/>
      <c r="Y16" s="16"/>
      <c r="Z16" s="16"/>
      <c r="AA16" s="16"/>
      <c r="AB16" s="16"/>
      <c r="AC16" s="16"/>
      <c r="AD16" s="16"/>
      <c r="AE16" s="16"/>
      <c r="AF16" s="15" t="str">
        <f aca="false">IF(AB16&lt;&gt;"",AB16,IF('MEUS PROCESSOS'!N16="Alto",Sug_Alto,IF('MEUS PROCESSOS'!N16="Médio",Sug_Medio,IF('MEUS PROCESSOS'!N16="Baixo",Sug_Baixo,""))))</f>
        <v/>
      </c>
      <c r="AG16" s="15" t="str">
        <f aca="false">IF(AC16&lt;&gt;"",AC16,IF('MEUS PROCESSOS'!O16="Alto",Sug_Alto,IF('MEUS PROCESSOS'!O16="Médio",Sug_Medio,IF('MEUS PROCESSOS'!O16="Baixo",Sug_Baixo,""))))</f>
        <v/>
      </c>
      <c r="AH16" s="15" t="str">
        <f aca="false">IF(B16="","",IF(AND(AB16&lt;&gt;"",AC16&lt;&gt;""),"Avaliado pela empresa",IF(AND(AB16="",AC16="",'MEUS PROCESSOS'!N16&lt;&gt;""),"Sugestão da biblioteca",IF('MEUS PROCESSOS'!N16&lt;&gt;"","Parcialmente sugerido",IF(AND(AB16="",AC16=""),"","Avaliado pela empresa")))))</f>
        <v/>
      </c>
      <c r="AI16" s="18" t="str">
        <f aca="false">IF(B16="","",IF(AND((COUNTBLANK(X16:AA16)+COUNTBLANK(AD16:AE16)+(AF16="")*1+(AG16="")*1)=0,W16&lt;&gt;""),"Completo","Incompleto — faltam "&amp;IF((COUNTBLANK(X16:AA16)+COUNTBLANK(AD16:AE16)+(AF16="")*1+(AG16="")*1)&gt;0,(COUNTBLANK(X16:AA16)+COUNTBLANK(AD16:AE16)+(AF16="")*1+(AG16="")*1)&amp;IF((COUNTBLANK(X16:AA16)+COUNTBLANK(AD16:AE16)+(AF16="")*1+(AG16="")*1)=1," avaliação"," avaliações"),"")&amp;IF(AND((COUNTBLANK(X16:AA16)+COUNTBLANK(AD16:AE16)+(AF16="")*1+(AG16="")*1)&gt;0,W16=""), " e ","")&amp;IF(W16="","os dados de custo","")))</f>
        <v/>
      </c>
      <c r="AJ16" s="29" t="str">
        <f aca="false">IF($AI16&lt;&gt;"Completo","",W_Custo*(W16-1)/4+W_Imp*(X16-1)/4)</f>
        <v/>
      </c>
      <c r="AK16" s="29" t="str">
        <f aca="false">IF($AI16&lt;&gt;"Completo","",W_Pot*(MAX(AF16,AG16)-1)/4+W_Rep*(Y16-1)/4+W_Pad*(Z16-1)/4+W_Vol*(AA16-1)/4)</f>
        <v/>
      </c>
      <c r="AL16" s="29" t="str">
        <f aca="false">IF($AI16&lt;&gt;"Completo","",(1-F_Pen*(AE16-1)/4)*(1-F_Pen*(AD16-1)/4))</f>
        <v/>
      </c>
      <c r="AM16" s="29" t="str">
        <f aca="false">IF($AI16&lt;&gt;"Completo","",SQRT(AK16*AL16))</f>
        <v/>
      </c>
      <c r="AN16" s="30" t="str">
        <f aca="false">IF($AI16&lt;&gt;"Completo","",100*AJ16^Exp_V*AM16^Exp_Vb)</f>
        <v/>
      </c>
      <c r="AO16" s="15" t="str">
        <f aca="false">IF(AN16="","",IF(AJ16&gt;=Corte,IF(AM16&gt;=Corte,"Fazer primeiro","Projeto estratégico"),IF(AM16&gt;=Corte,"Quick win","Evitar")))</f>
        <v/>
      </c>
      <c r="AP16" s="15" t="str">
        <f aca="false">IF(AN16="","",IF(OR(AD16&gt;=Trava_Nota,AE16&gt;=Trava_Nota),"SIM","—"))</f>
        <v/>
      </c>
      <c r="AQ16" s="15" t="str">
        <f aca="false">IF(AN16="","",IF(MAX(AF16,AG16)&lt;=Rota_Nota,"SIM","—"))</f>
        <v/>
      </c>
      <c r="AR16" s="15" t="str">
        <f aca="false">IF(AN16="","",IF(Z16&lt;=Rota_Nota,"SIM","—"))</f>
        <v/>
      </c>
      <c r="AS16" s="15" t="str">
        <f aca="false">IF(AN16="","",IF(AP16="SIM",IF(AJ16&gt;=Corte,"Projeto estratégico","Evitar"),AO16))</f>
        <v/>
      </c>
      <c r="AT16" s="15" t="str">
        <f aca="false">IF(AN16="","",IF(OR(AND(AJ16&gt;=Fr_Min,AJ16&lt;=Fr_Max),AND(AM16&gt;=Fr_Min,AM16&lt;=Fr_Max)),"Revisar",""))</f>
        <v/>
      </c>
      <c r="AU16" s="15" t="str">
        <f aca="false">IF(BE16="","",COUNTIF($BE$6:$BE$105,"&gt;"&amp;BE16)+1)</f>
        <v/>
      </c>
      <c r="AV16" s="16"/>
      <c r="AW16" s="15" t="str">
        <f aca="false">IF(B16="","",IF(AV16&lt;&gt;"",AV16,'MEUS PROCESSOS'!M16))</f>
        <v/>
      </c>
      <c r="AX16" s="23"/>
      <c r="AY16" s="31" t="str">
        <f aca="false">IF(AW16="","",IF(AX16&lt;&gt;"",AX16,IF(AW16="S",Red_S,IF(AW16="P",Red_P,IF(AW16="A",Red_A,IF(AW16="IA",Red_IA,""))))))</f>
        <v/>
      </c>
      <c r="AZ16" s="27" t="str">
        <f aca="false">IF(OR(V16="",AY16=""),"",(T16+U16)*AY16)</f>
        <v/>
      </c>
      <c r="BA16" s="27" t="str">
        <f aca="false">IF(OR(V16="",AY16=""),"",(R16+S16)*AY16)</f>
        <v/>
      </c>
      <c r="BB16" s="27" t="str">
        <f aca="false">IF(AZ16="","",AZ16+BA16)</f>
        <v/>
      </c>
      <c r="BC16" s="27" t="str">
        <f aca="false">IF(OR(P16="",AY16=""),"",(P16*(1+N(J16))+N(M16))*12*AY16)</f>
        <v/>
      </c>
      <c r="BD16" s="18" t="str">
        <f aca="false">IF(B16="","",IF(AND(AW16="E",AX16=""),"Eliminar: informe quanto do esforço atual deixa de existir (0% a 100%). Não há percentual inicial sugerido.",IF(AND(AX16="",AY16&lt;&gt;""),"Redução pela faixa inicial para simulação","")))</f>
        <v/>
      </c>
      <c r="BE16" s="19" t="str">
        <f aca="false">IF(AND(AN16&lt;&gt;"",D16=1),AN16+(1000-A16)/1000000,"")</f>
        <v/>
      </c>
    </row>
    <row r="17" customFormat="false" ht="15" hidden="false" customHeight="false" outlineLevel="0" collapsed="false">
      <c r="A17" s="15" t="n">
        <v>12</v>
      </c>
      <c r="B17" s="18" t="str">
        <f aca="false">IF('MEUS PROCESSOS'!J17="","",'MEUS PROCESSOS'!J17)</f>
        <v/>
      </c>
      <c r="C17" s="15" t="str">
        <f aca="false">IF('MEUS PROCESSOS'!K17="","",'MEUS PROCESSOS'!K17)</f>
        <v/>
      </c>
      <c r="D17" s="19" t="n">
        <f aca="false">'MEUS PROCESSOS'!Q17</f>
        <v>0</v>
      </c>
      <c r="E17" s="16"/>
      <c r="F17" s="16"/>
      <c r="G17" s="16"/>
      <c r="H17" s="16"/>
      <c r="I17" s="22"/>
      <c r="J17" s="23"/>
      <c r="K17" s="16"/>
      <c r="L17" s="24"/>
      <c r="M17" s="16"/>
      <c r="N17" s="24"/>
      <c r="O17" s="25" t="str">
        <f aca="false">IF(OR(E17="",F17=""),"",F17*IF(E17="Diária",Mult_Diaria,IF(E17="Semanal",Mult_Semanal,1)))</f>
        <v/>
      </c>
      <c r="P17" s="25" t="str">
        <f aca="false">IF(OR(O17="",G17="",H17=""),"",O17*G17/60*H17)</f>
        <v/>
      </c>
      <c r="Q17" s="26" t="str">
        <f aca="false">IF(I17&lt;&gt;"",I17,IF(Custo_Hora_Padrao&lt;&gt;"",Custo_Hora_Padrao,""))</f>
        <v/>
      </c>
      <c r="R17" s="27" t="str">
        <f aca="false">IF(OR(P17="",Q17=""),"",P17*Q17*12)</f>
        <v/>
      </c>
      <c r="S17" s="27" t="str">
        <f aca="false">IF(R17="","",R17*N(J17))</f>
        <v/>
      </c>
      <c r="T17" s="27" t="str">
        <f aca="false">IF(R17="","",N(K17)*N(L17)*12)</f>
        <v/>
      </c>
      <c r="U17" s="27" t="str">
        <f aca="false">IF(R17="","",(N(M17)*Q17*HE_Fator+N(N17))*12)</f>
        <v/>
      </c>
      <c r="V17" s="28" t="str">
        <f aca="false">IF(R17="","",R17+S17+T17+U17)</f>
        <v/>
      </c>
      <c r="W17" s="15" t="str">
        <f aca="false">IF(V17="","",IF(V17&lt;=Faixa_1,1,IF(V17&lt;=Faixa_2,2,IF(V17&lt;=Faixa_3,3,IF(V17&lt;=Faixa_4,4,5)))))</f>
        <v/>
      </c>
      <c r="X17" s="16"/>
      <c r="Y17" s="16"/>
      <c r="Z17" s="16"/>
      <c r="AA17" s="16"/>
      <c r="AB17" s="16"/>
      <c r="AC17" s="16"/>
      <c r="AD17" s="16"/>
      <c r="AE17" s="16"/>
      <c r="AF17" s="15" t="str">
        <f aca="false">IF(AB17&lt;&gt;"",AB17,IF('MEUS PROCESSOS'!N17="Alto",Sug_Alto,IF('MEUS PROCESSOS'!N17="Médio",Sug_Medio,IF('MEUS PROCESSOS'!N17="Baixo",Sug_Baixo,""))))</f>
        <v/>
      </c>
      <c r="AG17" s="15" t="str">
        <f aca="false">IF(AC17&lt;&gt;"",AC17,IF('MEUS PROCESSOS'!O17="Alto",Sug_Alto,IF('MEUS PROCESSOS'!O17="Médio",Sug_Medio,IF('MEUS PROCESSOS'!O17="Baixo",Sug_Baixo,""))))</f>
        <v/>
      </c>
      <c r="AH17" s="15" t="str">
        <f aca="false">IF(B17="","",IF(AND(AB17&lt;&gt;"",AC17&lt;&gt;""),"Avaliado pela empresa",IF(AND(AB17="",AC17="",'MEUS PROCESSOS'!N17&lt;&gt;""),"Sugestão da biblioteca",IF('MEUS PROCESSOS'!N17&lt;&gt;"","Parcialmente sugerido",IF(AND(AB17="",AC17=""),"","Avaliado pela empresa")))))</f>
        <v/>
      </c>
      <c r="AI17" s="18" t="str">
        <f aca="false">IF(B17="","",IF(AND((COUNTBLANK(X17:AA17)+COUNTBLANK(AD17:AE17)+(AF17="")*1+(AG17="")*1)=0,W17&lt;&gt;""),"Completo","Incompleto — faltam "&amp;IF((COUNTBLANK(X17:AA17)+COUNTBLANK(AD17:AE17)+(AF17="")*1+(AG17="")*1)&gt;0,(COUNTBLANK(X17:AA17)+COUNTBLANK(AD17:AE17)+(AF17="")*1+(AG17="")*1)&amp;IF((COUNTBLANK(X17:AA17)+COUNTBLANK(AD17:AE17)+(AF17="")*1+(AG17="")*1)=1," avaliação"," avaliações"),"")&amp;IF(AND((COUNTBLANK(X17:AA17)+COUNTBLANK(AD17:AE17)+(AF17="")*1+(AG17="")*1)&gt;0,W17=""), " e ","")&amp;IF(W17="","os dados de custo","")))</f>
        <v/>
      </c>
      <c r="AJ17" s="29" t="str">
        <f aca="false">IF($AI17&lt;&gt;"Completo","",W_Custo*(W17-1)/4+W_Imp*(X17-1)/4)</f>
        <v/>
      </c>
      <c r="AK17" s="29" t="str">
        <f aca="false">IF($AI17&lt;&gt;"Completo","",W_Pot*(MAX(AF17,AG17)-1)/4+W_Rep*(Y17-1)/4+W_Pad*(Z17-1)/4+W_Vol*(AA17-1)/4)</f>
        <v/>
      </c>
      <c r="AL17" s="29" t="str">
        <f aca="false">IF($AI17&lt;&gt;"Completo","",(1-F_Pen*(AE17-1)/4)*(1-F_Pen*(AD17-1)/4))</f>
        <v/>
      </c>
      <c r="AM17" s="29" t="str">
        <f aca="false">IF($AI17&lt;&gt;"Completo","",SQRT(AK17*AL17))</f>
        <v/>
      </c>
      <c r="AN17" s="30" t="str">
        <f aca="false">IF($AI17&lt;&gt;"Completo","",100*AJ17^Exp_V*AM17^Exp_Vb)</f>
        <v/>
      </c>
      <c r="AO17" s="15" t="str">
        <f aca="false">IF(AN17="","",IF(AJ17&gt;=Corte,IF(AM17&gt;=Corte,"Fazer primeiro","Projeto estratégico"),IF(AM17&gt;=Corte,"Quick win","Evitar")))</f>
        <v/>
      </c>
      <c r="AP17" s="15" t="str">
        <f aca="false">IF(AN17="","",IF(OR(AD17&gt;=Trava_Nota,AE17&gt;=Trava_Nota),"SIM","—"))</f>
        <v/>
      </c>
      <c r="AQ17" s="15" t="str">
        <f aca="false">IF(AN17="","",IF(MAX(AF17,AG17)&lt;=Rota_Nota,"SIM","—"))</f>
        <v/>
      </c>
      <c r="AR17" s="15" t="str">
        <f aca="false">IF(AN17="","",IF(Z17&lt;=Rota_Nota,"SIM","—"))</f>
        <v/>
      </c>
      <c r="AS17" s="15" t="str">
        <f aca="false">IF(AN17="","",IF(AP17="SIM",IF(AJ17&gt;=Corte,"Projeto estratégico","Evitar"),AO17))</f>
        <v/>
      </c>
      <c r="AT17" s="15" t="str">
        <f aca="false">IF(AN17="","",IF(OR(AND(AJ17&gt;=Fr_Min,AJ17&lt;=Fr_Max),AND(AM17&gt;=Fr_Min,AM17&lt;=Fr_Max)),"Revisar",""))</f>
        <v/>
      </c>
      <c r="AU17" s="15" t="str">
        <f aca="false">IF(BE17="","",COUNTIF($BE$6:$BE$105,"&gt;"&amp;BE17)+1)</f>
        <v/>
      </c>
      <c r="AV17" s="16"/>
      <c r="AW17" s="15" t="str">
        <f aca="false">IF(B17="","",IF(AV17&lt;&gt;"",AV17,'MEUS PROCESSOS'!M17))</f>
        <v/>
      </c>
      <c r="AX17" s="23"/>
      <c r="AY17" s="31" t="str">
        <f aca="false">IF(AW17="","",IF(AX17&lt;&gt;"",AX17,IF(AW17="S",Red_S,IF(AW17="P",Red_P,IF(AW17="A",Red_A,IF(AW17="IA",Red_IA,""))))))</f>
        <v/>
      </c>
      <c r="AZ17" s="27" t="str">
        <f aca="false">IF(OR(V17="",AY17=""),"",(T17+U17)*AY17)</f>
        <v/>
      </c>
      <c r="BA17" s="27" t="str">
        <f aca="false">IF(OR(V17="",AY17=""),"",(R17+S17)*AY17)</f>
        <v/>
      </c>
      <c r="BB17" s="27" t="str">
        <f aca="false">IF(AZ17="","",AZ17+BA17)</f>
        <v/>
      </c>
      <c r="BC17" s="27" t="str">
        <f aca="false">IF(OR(P17="",AY17=""),"",(P17*(1+N(J17))+N(M17))*12*AY17)</f>
        <v/>
      </c>
      <c r="BD17" s="18" t="str">
        <f aca="false">IF(B17="","",IF(AND(AW17="E",AX17=""),"Eliminar: informe quanto do esforço atual deixa de existir (0% a 100%). Não há percentual inicial sugerido.",IF(AND(AX17="",AY17&lt;&gt;""),"Redução pela faixa inicial para simulação","")))</f>
        <v/>
      </c>
      <c r="BE17" s="19" t="str">
        <f aca="false">IF(AND(AN17&lt;&gt;"",D17=1),AN17+(1000-A17)/1000000,"")</f>
        <v/>
      </c>
    </row>
    <row r="18" customFormat="false" ht="15" hidden="false" customHeight="false" outlineLevel="0" collapsed="false">
      <c r="A18" s="15" t="n">
        <v>13</v>
      </c>
      <c r="B18" s="18" t="str">
        <f aca="false">IF('MEUS PROCESSOS'!J18="","",'MEUS PROCESSOS'!J18)</f>
        <v/>
      </c>
      <c r="C18" s="15" t="str">
        <f aca="false">IF('MEUS PROCESSOS'!K18="","",'MEUS PROCESSOS'!K18)</f>
        <v/>
      </c>
      <c r="D18" s="19" t="n">
        <f aca="false">'MEUS PROCESSOS'!Q18</f>
        <v>0</v>
      </c>
      <c r="E18" s="16"/>
      <c r="F18" s="16"/>
      <c r="G18" s="16"/>
      <c r="H18" s="16"/>
      <c r="I18" s="22"/>
      <c r="J18" s="23"/>
      <c r="K18" s="16"/>
      <c r="L18" s="24"/>
      <c r="M18" s="16"/>
      <c r="N18" s="24"/>
      <c r="O18" s="25" t="str">
        <f aca="false">IF(OR(E18="",F18=""),"",F18*IF(E18="Diária",Mult_Diaria,IF(E18="Semanal",Mult_Semanal,1)))</f>
        <v/>
      </c>
      <c r="P18" s="25" t="str">
        <f aca="false">IF(OR(O18="",G18="",H18=""),"",O18*G18/60*H18)</f>
        <v/>
      </c>
      <c r="Q18" s="26" t="str">
        <f aca="false">IF(I18&lt;&gt;"",I18,IF(Custo_Hora_Padrao&lt;&gt;"",Custo_Hora_Padrao,""))</f>
        <v/>
      </c>
      <c r="R18" s="27" t="str">
        <f aca="false">IF(OR(P18="",Q18=""),"",P18*Q18*12)</f>
        <v/>
      </c>
      <c r="S18" s="27" t="str">
        <f aca="false">IF(R18="","",R18*N(J18))</f>
        <v/>
      </c>
      <c r="T18" s="27" t="str">
        <f aca="false">IF(R18="","",N(K18)*N(L18)*12)</f>
        <v/>
      </c>
      <c r="U18" s="27" t="str">
        <f aca="false">IF(R18="","",(N(M18)*Q18*HE_Fator+N(N18))*12)</f>
        <v/>
      </c>
      <c r="V18" s="28" t="str">
        <f aca="false">IF(R18="","",R18+S18+T18+U18)</f>
        <v/>
      </c>
      <c r="W18" s="15" t="str">
        <f aca="false">IF(V18="","",IF(V18&lt;=Faixa_1,1,IF(V18&lt;=Faixa_2,2,IF(V18&lt;=Faixa_3,3,IF(V18&lt;=Faixa_4,4,5)))))</f>
        <v/>
      </c>
      <c r="X18" s="16"/>
      <c r="Y18" s="16"/>
      <c r="Z18" s="16"/>
      <c r="AA18" s="16"/>
      <c r="AB18" s="16"/>
      <c r="AC18" s="16"/>
      <c r="AD18" s="16"/>
      <c r="AE18" s="16"/>
      <c r="AF18" s="15" t="str">
        <f aca="false">IF(AB18&lt;&gt;"",AB18,IF('MEUS PROCESSOS'!N18="Alto",Sug_Alto,IF('MEUS PROCESSOS'!N18="Médio",Sug_Medio,IF('MEUS PROCESSOS'!N18="Baixo",Sug_Baixo,""))))</f>
        <v/>
      </c>
      <c r="AG18" s="15" t="str">
        <f aca="false">IF(AC18&lt;&gt;"",AC18,IF('MEUS PROCESSOS'!O18="Alto",Sug_Alto,IF('MEUS PROCESSOS'!O18="Médio",Sug_Medio,IF('MEUS PROCESSOS'!O18="Baixo",Sug_Baixo,""))))</f>
        <v/>
      </c>
      <c r="AH18" s="15" t="str">
        <f aca="false">IF(B18="","",IF(AND(AB18&lt;&gt;"",AC18&lt;&gt;""),"Avaliado pela empresa",IF(AND(AB18="",AC18="",'MEUS PROCESSOS'!N18&lt;&gt;""),"Sugestão da biblioteca",IF('MEUS PROCESSOS'!N18&lt;&gt;"","Parcialmente sugerido",IF(AND(AB18="",AC18=""),"","Avaliado pela empresa")))))</f>
        <v/>
      </c>
      <c r="AI18" s="18" t="str">
        <f aca="false">IF(B18="","",IF(AND((COUNTBLANK(X18:AA18)+COUNTBLANK(AD18:AE18)+(AF18="")*1+(AG18="")*1)=0,W18&lt;&gt;""),"Completo","Incompleto — faltam "&amp;IF((COUNTBLANK(X18:AA18)+COUNTBLANK(AD18:AE18)+(AF18="")*1+(AG18="")*1)&gt;0,(COUNTBLANK(X18:AA18)+COUNTBLANK(AD18:AE18)+(AF18="")*1+(AG18="")*1)&amp;IF((COUNTBLANK(X18:AA18)+COUNTBLANK(AD18:AE18)+(AF18="")*1+(AG18="")*1)=1," avaliação"," avaliações"),"")&amp;IF(AND((COUNTBLANK(X18:AA18)+COUNTBLANK(AD18:AE18)+(AF18="")*1+(AG18="")*1)&gt;0,W18=""), " e ","")&amp;IF(W18="","os dados de custo","")))</f>
        <v/>
      </c>
      <c r="AJ18" s="29" t="str">
        <f aca="false">IF($AI18&lt;&gt;"Completo","",W_Custo*(W18-1)/4+W_Imp*(X18-1)/4)</f>
        <v/>
      </c>
      <c r="AK18" s="29" t="str">
        <f aca="false">IF($AI18&lt;&gt;"Completo","",W_Pot*(MAX(AF18,AG18)-1)/4+W_Rep*(Y18-1)/4+W_Pad*(Z18-1)/4+W_Vol*(AA18-1)/4)</f>
        <v/>
      </c>
      <c r="AL18" s="29" t="str">
        <f aca="false">IF($AI18&lt;&gt;"Completo","",(1-F_Pen*(AE18-1)/4)*(1-F_Pen*(AD18-1)/4))</f>
        <v/>
      </c>
      <c r="AM18" s="29" t="str">
        <f aca="false">IF($AI18&lt;&gt;"Completo","",SQRT(AK18*AL18))</f>
        <v/>
      </c>
      <c r="AN18" s="30" t="str">
        <f aca="false">IF($AI18&lt;&gt;"Completo","",100*AJ18^Exp_V*AM18^Exp_Vb)</f>
        <v/>
      </c>
      <c r="AO18" s="15" t="str">
        <f aca="false">IF(AN18="","",IF(AJ18&gt;=Corte,IF(AM18&gt;=Corte,"Fazer primeiro","Projeto estratégico"),IF(AM18&gt;=Corte,"Quick win","Evitar")))</f>
        <v/>
      </c>
      <c r="AP18" s="15" t="str">
        <f aca="false">IF(AN18="","",IF(OR(AD18&gt;=Trava_Nota,AE18&gt;=Trava_Nota),"SIM","—"))</f>
        <v/>
      </c>
      <c r="AQ18" s="15" t="str">
        <f aca="false">IF(AN18="","",IF(MAX(AF18,AG18)&lt;=Rota_Nota,"SIM","—"))</f>
        <v/>
      </c>
      <c r="AR18" s="15" t="str">
        <f aca="false">IF(AN18="","",IF(Z18&lt;=Rota_Nota,"SIM","—"))</f>
        <v/>
      </c>
      <c r="AS18" s="15" t="str">
        <f aca="false">IF(AN18="","",IF(AP18="SIM",IF(AJ18&gt;=Corte,"Projeto estratégico","Evitar"),AO18))</f>
        <v/>
      </c>
      <c r="AT18" s="15" t="str">
        <f aca="false">IF(AN18="","",IF(OR(AND(AJ18&gt;=Fr_Min,AJ18&lt;=Fr_Max),AND(AM18&gt;=Fr_Min,AM18&lt;=Fr_Max)),"Revisar",""))</f>
        <v/>
      </c>
      <c r="AU18" s="15" t="str">
        <f aca="false">IF(BE18="","",COUNTIF($BE$6:$BE$105,"&gt;"&amp;BE18)+1)</f>
        <v/>
      </c>
      <c r="AV18" s="16"/>
      <c r="AW18" s="15" t="str">
        <f aca="false">IF(B18="","",IF(AV18&lt;&gt;"",AV18,'MEUS PROCESSOS'!M18))</f>
        <v/>
      </c>
      <c r="AX18" s="23"/>
      <c r="AY18" s="31" t="str">
        <f aca="false">IF(AW18="","",IF(AX18&lt;&gt;"",AX18,IF(AW18="S",Red_S,IF(AW18="P",Red_P,IF(AW18="A",Red_A,IF(AW18="IA",Red_IA,""))))))</f>
        <v/>
      </c>
      <c r="AZ18" s="27" t="str">
        <f aca="false">IF(OR(V18="",AY18=""),"",(T18+U18)*AY18)</f>
        <v/>
      </c>
      <c r="BA18" s="27" t="str">
        <f aca="false">IF(OR(V18="",AY18=""),"",(R18+S18)*AY18)</f>
        <v/>
      </c>
      <c r="BB18" s="27" t="str">
        <f aca="false">IF(AZ18="","",AZ18+BA18)</f>
        <v/>
      </c>
      <c r="BC18" s="27" t="str">
        <f aca="false">IF(OR(P18="",AY18=""),"",(P18*(1+N(J18))+N(M18))*12*AY18)</f>
        <v/>
      </c>
      <c r="BD18" s="18" t="str">
        <f aca="false">IF(B18="","",IF(AND(AW18="E",AX18=""),"Eliminar: informe quanto do esforço atual deixa de existir (0% a 100%). Não há percentual inicial sugerido.",IF(AND(AX18="",AY18&lt;&gt;""),"Redução pela faixa inicial para simulação","")))</f>
        <v/>
      </c>
      <c r="BE18" s="19" t="str">
        <f aca="false">IF(AND(AN18&lt;&gt;"",D18=1),AN18+(1000-A18)/1000000,"")</f>
        <v/>
      </c>
    </row>
    <row r="19" customFormat="false" ht="15" hidden="false" customHeight="false" outlineLevel="0" collapsed="false">
      <c r="A19" s="15" t="n">
        <v>14</v>
      </c>
      <c r="B19" s="18" t="str">
        <f aca="false">IF('MEUS PROCESSOS'!J19="","",'MEUS PROCESSOS'!J19)</f>
        <v/>
      </c>
      <c r="C19" s="15" t="str">
        <f aca="false">IF('MEUS PROCESSOS'!K19="","",'MEUS PROCESSOS'!K19)</f>
        <v/>
      </c>
      <c r="D19" s="19" t="n">
        <f aca="false">'MEUS PROCESSOS'!Q19</f>
        <v>0</v>
      </c>
      <c r="E19" s="16"/>
      <c r="F19" s="16"/>
      <c r="G19" s="16"/>
      <c r="H19" s="16"/>
      <c r="I19" s="22"/>
      <c r="J19" s="23"/>
      <c r="K19" s="16"/>
      <c r="L19" s="24"/>
      <c r="M19" s="16"/>
      <c r="N19" s="24"/>
      <c r="O19" s="25" t="str">
        <f aca="false">IF(OR(E19="",F19=""),"",F19*IF(E19="Diária",Mult_Diaria,IF(E19="Semanal",Mult_Semanal,1)))</f>
        <v/>
      </c>
      <c r="P19" s="25" t="str">
        <f aca="false">IF(OR(O19="",G19="",H19=""),"",O19*G19/60*H19)</f>
        <v/>
      </c>
      <c r="Q19" s="26" t="str">
        <f aca="false">IF(I19&lt;&gt;"",I19,IF(Custo_Hora_Padrao&lt;&gt;"",Custo_Hora_Padrao,""))</f>
        <v/>
      </c>
      <c r="R19" s="27" t="str">
        <f aca="false">IF(OR(P19="",Q19=""),"",P19*Q19*12)</f>
        <v/>
      </c>
      <c r="S19" s="27" t="str">
        <f aca="false">IF(R19="","",R19*N(J19))</f>
        <v/>
      </c>
      <c r="T19" s="27" t="str">
        <f aca="false">IF(R19="","",N(K19)*N(L19)*12)</f>
        <v/>
      </c>
      <c r="U19" s="27" t="str">
        <f aca="false">IF(R19="","",(N(M19)*Q19*HE_Fator+N(N19))*12)</f>
        <v/>
      </c>
      <c r="V19" s="28" t="str">
        <f aca="false">IF(R19="","",R19+S19+T19+U19)</f>
        <v/>
      </c>
      <c r="W19" s="15" t="str">
        <f aca="false">IF(V19="","",IF(V19&lt;=Faixa_1,1,IF(V19&lt;=Faixa_2,2,IF(V19&lt;=Faixa_3,3,IF(V19&lt;=Faixa_4,4,5)))))</f>
        <v/>
      </c>
      <c r="X19" s="16"/>
      <c r="Y19" s="16"/>
      <c r="Z19" s="16"/>
      <c r="AA19" s="16"/>
      <c r="AB19" s="16"/>
      <c r="AC19" s="16"/>
      <c r="AD19" s="16"/>
      <c r="AE19" s="16"/>
      <c r="AF19" s="15" t="str">
        <f aca="false">IF(AB19&lt;&gt;"",AB19,IF('MEUS PROCESSOS'!N19="Alto",Sug_Alto,IF('MEUS PROCESSOS'!N19="Médio",Sug_Medio,IF('MEUS PROCESSOS'!N19="Baixo",Sug_Baixo,""))))</f>
        <v/>
      </c>
      <c r="AG19" s="15" t="str">
        <f aca="false">IF(AC19&lt;&gt;"",AC19,IF('MEUS PROCESSOS'!O19="Alto",Sug_Alto,IF('MEUS PROCESSOS'!O19="Médio",Sug_Medio,IF('MEUS PROCESSOS'!O19="Baixo",Sug_Baixo,""))))</f>
        <v/>
      </c>
      <c r="AH19" s="15" t="str">
        <f aca="false">IF(B19="","",IF(AND(AB19&lt;&gt;"",AC19&lt;&gt;""),"Avaliado pela empresa",IF(AND(AB19="",AC19="",'MEUS PROCESSOS'!N19&lt;&gt;""),"Sugestão da biblioteca",IF('MEUS PROCESSOS'!N19&lt;&gt;"","Parcialmente sugerido",IF(AND(AB19="",AC19=""),"","Avaliado pela empresa")))))</f>
        <v/>
      </c>
      <c r="AI19" s="18" t="str">
        <f aca="false">IF(B19="","",IF(AND((COUNTBLANK(X19:AA19)+COUNTBLANK(AD19:AE19)+(AF19="")*1+(AG19="")*1)=0,W19&lt;&gt;""),"Completo","Incompleto — faltam "&amp;IF((COUNTBLANK(X19:AA19)+COUNTBLANK(AD19:AE19)+(AF19="")*1+(AG19="")*1)&gt;0,(COUNTBLANK(X19:AA19)+COUNTBLANK(AD19:AE19)+(AF19="")*1+(AG19="")*1)&amp;IF((COUNTBLANK(X19:AA19)+COUNTBLANK(AD19:AE19)+(AF19="")*1+(AG19="")*1)=1," avaliação"," avaliações"),"")&amp;IF(AND((COUNTBLANK(X19:AA19)+COUNTBLANK(AD19:AE19)+(AF19="")*1+(AG19="")*1)&gt;0,W19=""), " e ","")&amp;IF(W19="","os dados de custo","")))</f>
        <v/>
      </c>
      <c r="AJ19" s="29" t="str">
        <f aca="false">IF($AI19&lt;&gt;"Completo","",W_Custo*(W19-1)/4+W_Imp*(X19-1)/4)</f>
        <v/>
      </c>
      <c r="AK19" s="29" t="str">
        <f aca="false">IF($AI19&lt;&gt;"Completo","",W_Pot*(MAX(AF19,AG19)-1)/4+W_Rep*(Y19-1)/4+W_Pad*(Z19-1)/4+W_Vol*(AA19-1)/4)</f>
        <v/>
      </c>
      <c r="AL19" s="29" t="str">
        <f aca="false">IF($AI19&lt;&gt;"Completo","",(1-F_Pen*(AE19-1)/4)*(1-F_Pen*(AD19-1)/4))</f>
        <v/>
      </c>
      <c r="AM19" s="29" t="str">
        <f aca="false">IF($AI19&lt;&gt;"Completo","",SQRT(AK19*AL19))</f>
        <v/>
      </c>
      <c r="AN19" s="30" t="str">
        <f aca="false">IF($AI19&lt;&gt;"Completo","",100*AJ19^Exp_V*AM19^Exp_Vb)</f>
        <v/>
      </c>
      <c r="AO19" s="15" t="str">
        <f aca="false">IF(AN19="","",IF(AJ19&gt;=Corte,IF(AM19&gt;=Corte,"Fazer primeiro","Projeto estratégico"),IF(AM19&gt;=Corte,"Quick win","Evitar")))</f>
        <v/>
      </c>
      <c r="AP19" s="15" t="str">
        <f aca="false">IF(AN19="","",IF(OR(AD19&gt;=Trava_Nota,AE19&gt;=Trava_Nota),"SIM","—"))</f>
        <v/>
      </c>
      <c r="AQ19" s="15" t="str">
        <f aca="false">IF(AN19="","",IF(MAX(AF19,AG19)&lt;=Rota_Nota,"SIM","—"))</f>
        <v/>
      </c>
      <c r="AR19" s="15" t="str">
        <f aca="false">IF(AN19="","",IF(Z19&lt;=Rota_Nota,"SIM","—"))</f>
        <v/>
      </c>
      <c r="AS19" s="15" t="str">
        <f aca="false">IF(AN19="","",IF(AP19="SIM",IF(AJ19&gt;=Corte,"Projeto estratégico","Evitar"),AO19))</f>
        <v/>
      </c>
      <c r="AT19" s="15" t="str">
        <f aca="false">IF(AN19="","",IF(OR(AND(AJ19&gt;=Fr_Min,AJ19&lt;=Fr_Max),AND(AM19&gt;=Fr_Min,AM19&lt;=Fr_Max)),"Revisar",""))</f>
        <v/>
      </c>
      <c r="AU19" s="15" t="str">
        <f aca="false">IF(BE19="","",COUNTIF($BE$6:$BE$105,"&gt;"&amp;BE19)+1)</f>
        <v/>
      </c>
      <c r="AV19" s="16"/>
      <c r="AW19" s="15" t="str">
        <f aca="false">IF(B19="","",IF(AV19&lt;&gt;"",AV19,'MEUS PROCESSOS'!M19))</f>
        <v/>
      </c>
      <c r="AX19" s="23"/>
      <c r="AY19" s="31" t="str">
        <f aca="false">IF(AW19="","",IF(AX19&lt;&gt;"",AX19,IF(AW19="S",Red_S,IF(AW19="P",Red_P,IF(AW19="A",Red_A,IF(AW19="IA",Red_IA,""))))))</f>
        <v/>
      </c>
      <c r="AZ19" s="27" t="str">
        <f aca="false">IF(OR(V19="",AY19=""),"",(T19+U19)*AY19)</f>
        <v/>
      </c>
      <c r="BA19" s="27" t="str">
        <f aca="false">IF(OR(V19="",AY19=""),"",(R19+S19)*AY19)</f>
        <v/>
      </c>
      <c r="BB19" s="27" t="str">
        <f aca="false">IF(AZ19="","",AZ19+BA19)</f>
        <v/>
      </c>
      <c r="BC19" s="27" t="str">
        <f aca="false">IF(OR(P19="",AY19=""),"",(P19*(1+N(J19))+N(M19))*12*AY19)</f>
        <v/>
      </c>
      <c r="BD19" s="18" t="str">
        <f aca="false">IF(B19="","",IF(AND(AW19="E",AX19=""),"Eliminar: informe quanto do esforço atual deixa de existir (0% a 100%). Não há percentual inicial sugerido.",IF(AND(AX19="",AY19&lt;&gt;""),"Redução pela faixa inicial para simulação","")))</f>
        <v/>
      </c>
      <c r="BE19" s="19" t="str">
        <f aca="false">IF(AND(AN19&lt;&gt;"",D19=1),AN19+(1000-A19)/1000000,"")</f>
        <v/>
      </c>
    </row>
    <row r="20" customFormat="false" ht="15" hidden="false" customHeight="false" outlineLevel="0" collapsed="false">
      <c r="A20" s="15" t="n">
        <v>15</v>
      </c>
      <c r="B20" s="18" t="str">
        <f aca="false">IF('MEUS PROCESSOS'!J20="","",'MEUS PROCESSOS'!J20)</f>
        <v/>
      </c>
      <c r="C20" s="15" t="str">
        <f aca="false">IF('MEUS PROCESSOS'!K20="","",'MEUS PROCESSOS'!K20)</f>
        <v/>
      </c>
      <c r="D20" s="19" t="n">
        <f aca="false">'MEUS PROCESSOS'!Q20</f>
        <v>0</v>
      </c>
      <c r="E20" s="16"/>
      <c r="F20" s="16"/>
      <c r="G20" s="16"/>
      <c r="H20" s="16"/>
      <c r="I20" s="22"/>
      <c r="J20" s="23"/>
      <c r="K20" s="16"/>
      <c r="L20" s="24"/>
      <c r="M20" s="16"/>
      <c r="N20" s="24"/>
      <c r="O20" s="25" t="str">
        <f aca="false">IF(OR(E20="",F20=""),"",F20*IF(E20="Diária",Mult_Diaria,IF(E20="Semanal",Mult_Semanal,1)))</f>
        <v/>
      </c>
      <c r="P20" s="25" t="str">
        <f aca="false">IF(OR(O20="",G20="",H20=""),"",O20*G20/60*H20)</f>
        <v/>
      </c>
      <c r="Q20" s="26" t="str">
        <f aca="false">IF(I20&lt;&gt;"",I20,IF(Custo_Hora_Padrao&lt;&gt;"",Custo_Hora_Padrao,""))</f>
        <v/>
      </c>
      <c r="R20" s="27" t="str">
        <f aca="false">IF(OR(P20="",Q20=""),"",P20*Q20*12)</f>
        <v/>
      </c>
      <c r="S20" s="27" t="str">
        <f aca="false">IF(R20="","",R20*N(J20))</f>
        <v/>
      </c>
      <c r="T20" s="27" t="str">
        <f aca="false">IF(R20="","",N(K20)*N(L20)*12)</f>
        <v/>
      </c>
      <c r="U20" s="27" t="str">
        <f aca="false">IF(R20="","",(N(M20)*Q20*HE_Fator+N(N20))*12)</f>
        <v/>
      </c>
      <c r="V20" s="28" t="str">
        <f aca="false">IF(R20="","",R20+S20+T20+U20)</f>
        <v/>
      </c>
      <c r="W20" s="15" t="str">
        <f aca="false">IF(V20="","",IF(V20&lt;=Faixa_1,1,IF(V20&lt;=Faixa_2,2,IF(V20&lt;=Faixa_3,3,IF(V20&lt;=Faixa_4,4,5)))))</f>
        <v/>
      </c>
      <c r="X20" s="16"/>
      <c r="Y20" s="16"/>
      <c r="Z20" s="16"/>
      <c r="AA20" s="16"/>
      <c r="AB20" s="16"/>
      <c r="AC20" s="16"/>
      <c r="AD20" s="16"/>
      <c r="AE20" s="16"/>
      <c r="AF20" s="15" t="str">
        <f aca="false">IF(AB20&lt;&gt;"",AB20,IF('MEUS PROCESSOS'!N20="Alto",Sug_Alto,IF('MEUS PROCESSOS'!N20="Médio",Sug_Medio,IF('MEUS PROCESSOS'!N20="Baixo",Sug_Baixo,""))))</f>
        <v/>
      </c>
      <c r="AG20" s="15" t="str">
        <f aca="false">IF(AC20&lt;&gt;"",AC20,IF('MEUS PROCESSOS'!O20="Alto",Sug_Alto,IF('MEUS PROCESSOS'!O20="Médio",Sug_Medio,IF('MEUS PROCESSOS'!O20="Baixo",Sug_Baixo,""))))</f>
        <v/>
      </c>
      <c r="AH20" s="15" t="str">
        <f aca="false">IF(B20="","",IF(AND(AB20&lt;&gt;"",AC20&lt;&gt;""),"Avaliado pela empresa",IF(AND(AB20="",AC20="",'MEUS PROCESSOS'!N20&lt;&gt;""),"Sugestão da biblioteca",IF('MEUS PROCESSOS'!N20&lt;&gt;"","Parcialmente sugerido",IF(AND(AB20="",AC20=""),"","Avaliado pela empresa")))))</f>
        <v/>
      </c>
      <c r="AI20" s="18" t="str">
        <f aca="false">IF(B20="","",IF(AND((COUNTBLANK(X20:AA20)+COUNTBLANK(AD20:AE20)+(AF20="")*1+(AG20="")*1)=0,W20&lt;&gt;""),"Completo","Incompleto — faltam "&amp;IF((COUNTBLANK(X20:AA20)+COUNTBLANK(AD20:AE20)+(AF20="")*1+(AG20="")*1)&gt;0,(COUNTBLANK(X20:AA20)+COUNTBLANK(AD20:AE20)+(AF20="")*1+(AG20="")*1)&amp;IF((COUNTBLANK(X20:AA20)+COUNTBLANK(AD20:AE20)+(AF20="")*1+(AG20="")*1)=1," avaliação"," avaliações"),"")&amp;IF(AND((COUNTBLANK(X20:AA20)+COUNTBLANK(AD20:AE20)+(AF20="")*1+(AG20="")*1)&gt;0,W20=""), " e ","")&amp;IF(W20="","os dados de custo","")))</f>
        <v/>
      </c>
      <c r="AJ20" s="29" t="str">
        <f aca="false">IF($AI20&lt;&gt;"Completo","",W_Custo*(W20-1)/4+W_Imp*(X20-1)/4)</f>
        <v/>
      </c>
      <c r="AK20" s="29" t="str">
        <f aca="false">IF($AI20&lt;&gt;"Completo","",W_Pot*(MAX(AF20,AG20)-1)/4+W_Rep*(Y20-1)/4+W_Pad*(Z20-1)/4+W_Vol*(AA20-1)/4)</f>
        <v/>
      </c>
      <c r="AL20" s="29" t="str">
        <f aca="false">IF($AI20&lt;&gt;"Completo","",(1-F_Pen*(AE20-1)/4)*(1-F_Pen*(AD20-1)/4))</f>
        <v/>
      </c>
      <c r="AM20" s="29" t="str">
        <f aca="false">IF($AI20&lt;&gt;"Completo","",SQRT(AK20*AL20))</f>
        <v/>
      </c>
      <c r="AN20" s="30" t="str">
        <f aca="false">IF($AI20&lt;&gt;"Completo","",100*AJ20^Exp_V*AM20^Exp_Vb)</f>
        <v/>
      </c>
      <c r="AO20" s="15" t="str">
        <f aca="false">IF(AN20="","",IF(AJ20&gt;=Corte,IF(AM20&gt;=Corte,"Fazer primeiro","Projeto estratégico"),IF(AM20&gt;=Corte,"Quick win","Evitar")))</f>
        <v/>
      </c>
      <c r="AP20" s="15" t="str">
        <f aca="false">IF(AN20="","",IF(OR(AD20&gt;=Trava_Nota,AE20&gt;=Trava_Nota),"SIM","—"))</f>
        <v/>
      </c>
      <c r="AQ20" s="15" t="str">
        <f aca="false">IF(AN20="","",IF(MAX(AF20,AG20)&lt;=Rota_Nota,"SIM","—"))</f>
        <v/>
      </c>
      <c r="AR20" s="15" t="str">
        <f aca="false">IF(AN20="","",IF(Z20&lt;=Rota_Nota,"SIM","—"))</f>
        <v/>
      </c>
      <c r="AS20" s="15" t="str">
        <f aca="false">IF(AN20="","",IF(AP20="SIM",IF(AJ20&gt;=Corte,"Projeto estratégico","Evitar"),AO20))</f>
        <v/>
      </c>
      <c r="AT20" s="15" t="str">
        <f aca="false">IF(AN20="","",IF(OR(AND(AJ20&gt;=Fr_Min,AJ20&lt;=Fr_Max),AND(AM20&gt;=Fr_Min,AM20&lt;=Fr_Max)),"Revisar",""))</f>
        <v/>
      </c>
      <c r="AU20" s="15" t="str">
        <f aca="false">IF(BE20="","",COUNTIF($BE$6:$BE$105,"&gt;"&amp;BE20)+1)</f>
        <v/>
      </c>
      <c r="AV20" s="16"/>
      <c r="AW20" s="15" t="str">
        <f aca="false">IF(B20="","",IF(AV20&lt;&gt;"",AV20,'MEUS PROCESSOS'!M20))</f>
        <v/>
      </c>
      <c r="AX20" s="23"/>
      <c r="AY20" s="31" t="str">
        <f aca="false">IF(AW20="","",IF(AX20&lt;&gt;"",AX20,IF(AW20="S",Red_S,IF(AW20="P",Red_P,IF(AW20="A",Red_A,IF(AW20="IA",Red_IA,""))))))</f>
        <v/>
      </c>
      <c r="AZ20" s="27" t="str">
        <f aca="false">IF(OR(V20="",AY20=""),"",(T20+U20)*AY20)</f>
        <v/>
      </c>
      <c r="BA20" s="27" t="str">
        <f aca="false">IF(OR(V20="",AY20=""),"",(R20+S20)*AY20)</f>
        <v/>
      </c>
      <c r="BB20" s="27" t="str">
        <f aca="false">IF(AZ20="","",AZ20+BA20)</f>
        <v/>
      </c>
      <c r="BC20" s="27" t="str">
        <f aca="false">IF(OR(P20="",AY20=""),"",(P20*(1+N(J20))+N(M20))*12*AY20)</f>
        <v/>
      </c>
      <c r="BD20" s="18" t="str">
        <f aca="false">IF(B20="","",IF(AND(AW20="E",AX20=""),"Eliminar: informe quanto do esforço atual deixa de existir (0% a 100%). Não há percentual inicial sugerido.",IF(AND(AX20="",AY20&lt;&gt;""),"Redução pela faixa inicial para simulação","")))</f>
        <v/>
      </c>
      <c r="BE20" s="19" t="str">
        <f aca="false">IF(AND(AN20&lt;&gt;"",D20=1),AN20+(1000-A20)/1000000,"")</f>
        <v/>
      </c>
    </row>
    <row r="21" customFormat="false" ht="15" hidden="false" customHeight="false" outlineLevel="0" collapsed="false">
      <c r="A21" s="15" t="n">
        <v>16</v>
      </c>
      <c r="B21" s="18" t="str">
        <f aca="false">IF('MEUS PROCESSOS'!J21="","",'MEUS PROCESSOS'!J21)</f>
        <v/>
      </c>
      <c r="C21" s="15" t="str">
        <f aca="false">IF('MEUS PROCESSOS'!K21="","",'MEUS PROCESSOS'!K21)</f>
        <v/>
      </c>
      <c r="D21" s="19" t="n">
        <f aca="false">'MEUS PROCESSOS'!Q21</f>
        <v>0</v>
      </c>
      <c r="E21" s="16"/>
      <c r="F21" s="16"/>
      <c r="G21" s="16"/>
      <c r="H21" s="16"/>
      <c r="I21" s="22"/>
      <c r="J21" s="23"/>
      <c r="K21" s="16"/>
      <c r="L21" s="24"/>
      <c r="M21" s="16"/>
      <c r="N21" s="24"/>
      <c r="O21" s="25" t="str">
        <f aca="false">IF(OR(E21="",F21=""),"",F21*IF(E21="Diária",Mult_Diaria,IF(E21="Semanal",Mult_Semanal,1)))</f>
        <v/>
      </c>
      <c r="P21" s="25" t="str">
        <f aca="false">IF(OR(O21="",G21="",H21=""),"",O21*G21/60*H21)</f>
        <v/>
      </c>
      <c r="Q21" s="26" t="str">
        <f aca="false">IF(I21&lt;&gt;"",I21,IF(Custo_Hora_Padrao&lt;&gt;"",Custo_Hora_Padrao,""))</f>
        <v/>
      </c>
      <c r="R21" s="27" t="str">
        <f aca="false">IF(OR(P21="",Q21=""),"",P21*Q21*12)</f>
        <v/>
      </c>
      <c r="S21" s="27" t="str">
        <f aca="false">IF(R21="","",R21*N(J21))</f>
        <v/>
      </c>
      <c r="T21" s="27" t="str">
        <f aca="false">IF(R21="","",N(K21)*N(L21)*12)</f>
        <v/>
      </c>
      <c r="U21" s="27" t="str">
        <f aca="false">IF(R21="","",(N(M21)*Q21*HE_Fator+N(N21))*12)</f>
        <v/>
      </c>
      <c r="V21" s="28" t="str">
        <f aca="false">IF(R21="","",R21+S21+T21+U21)</f>
        <v/>
      </c>
      <c r="W21" s="15" t="str">
        <f aca="false">IF(V21="","",IF(V21&lt;=Faixa_1,1,IF(V21&lt;=Faixa_2,2,IF(V21&lt;=Faixa_3,3,IF(V21&lt;=Faixa_4,4,5)))))</f>
        <v/>
      </c>
      <c r="X21" s="16"/>
      <c r="Y21" s="16"/>
      <c r="Z21" s="16"/>
      <c r="AA21" s="16"/>
      <c r="AB21" s="16"/>
      <c r="AC21" s="16"/>
      <c r="AD21" s="16"/>
      <c r="AE21" s="16"/>
      <c r="AF21" s="15" t="str">
        <f aca="false">IF(AB21&lt;&gt;"",AB21,IF('MEUS PROCESSOS'!N21="Alto",Sug_Alto,IF('MEUS PROCESSOS'!N21="Médio",Sug_Medio,IF('MEUS PROCESSOS'!N21="Baixo",Sug_Baixo,""))))</f>
        <v/>
      </c>
      <c r="AG21" s="15" t="str">
        <f aca="false">IF(AC21&lt;&gt;"",AC21,IF('MEUS PROCESSOS'!O21="Alto",Sug_Alto,IF('MEUS PROCESSOS'!O21="Médio",Sug_Medio,IF('MEUS PROCESSOS'!O21="Baixo",Sug_Baixo,""))))</f>
        <v/>
      </c>
      <c r="AH21" s="15" t="str">
        <f aca="false">IF(B21="","",IF(AND(AB21&lt;&gt;"",AC21&lt;&gt;""),"Avaliado pela empresa",IF(AND(AB21="",AC21="",'MEUS PROCESSOS'!N21&lt;&gt;""),"Sugestão da biblioteca",IF('MEUS PROCESSOS'!N21&lt;&gt;"","Parcialmente sugerido",IF(AND(AB21="",AC21=""),"","Avaliado pela empresa")))))</f>
        <v/>
      </c>
      <c r="AI21" s="18" t="str">
        <f aca="false">IF(B21="","",IF(AND((COUNTBLANK(X21:AA21)+COUNTBLANK(AD21:AE21)+(AF21="")*1+(AG21="")*1)=0,W21&lt;&gt;""),"Completo","Incompleto — faltam "&amp;IF((COUNTBLANK(X21:AA21)+COUNTBLANK(AD21:AE21)+(AF21="")*1+(AG21="")*1)&gt;0,(COUNTBLANK(X21:AA21)+COUNTBLANK(AD21:AE21)+(AF21="")*1+(AG21="")*1)&amp;IF((COUNTBLANK(X21:AA21)+COUNTBLANK(AD21:AE21)+(AF21="")*1+(AG21="")*1)=1," avaliação"," avaliações"),"")&amp;IF(AND((COUNTBLANK(X21:AA21)+COUNTBLANK(AD21:AE21)+(AF21="")*1+(AG21="")*1)&gt;0,W21=""), " e ","")&amp;IF(W21="","os dados de custo","")))</f>
        <v/>
      </c>
      <c r="AJ21" s="29" t="str">
        <f aca="false">IF($AI21&lt;&gt;"Completo","",W_Custo*(W21-1)/4+W_Imp*(X21-1)/4)</f>
        <v/>
      </c>
      <c r="AK21" s="29" t="str">
        <f aca="false">IF($AI21&lt;&gt;"Completo","",W_Pot*(MAX(AF21,AG21)-1)/4+W_Rep*(Y21-1)/4+W_Pad*(Z21-1)/4+W_Vol*(AA21-1)/4)</f>
        <v/>
      </c>
      <c r="AL21" s="29" t="str">
        <f aca="false">IF($AI21&lt;&gt;"Completo","",(1-F_Pen*(AE21-1)/4)*(1-F_Pen*(AD21-1)/4))</f>
        <v/>
      </c>
      <c r="AM21" s="29" t="str">
        <f aca="false">IF($AI21&lt;&gt;"Completo","",SQRT(AK21*AL21))</f>
        <v/>
      </c>
      <c r="AN21" s="30" t="str">
        <f aca="false">IF($AI21&lt;&gt;"Completo","",100*AJ21^Exp_V*AM21^Exp_Vb)</f>
        <v/>
      </c>
      <c r="AO21" s="15" t="str">
        <f aca="false">IF(AN21="","",IF(AJ21&gt;=Corte,IF(AM21&gt;=Corte,"Fazer primeiro","Projeto estratégico"),IF(AM21&gt;=Corte,"Quick win","Evitar")))</f>
        <v/>
      </c>
      <c r="AP21" s="15" t="str">
        <f aca="false">IF(AN21="","",IF(OR(AD21&gt;=Trava_Nota,AE21&gt;=Trava_Nota),"SIM","—"))</f>
        <v/>
      </c>
      <c r="AQ21" s="15" t="str">
        <f aca="false">IF(AN21="","",IF(MAX(AF21,AG21)&lt;=Rota_Nota,"SIM","—"))</f>
        <v/>
      </c>
      <c r="AR21" s="15" t="str">
        <f aca="false">IF(AN21="","",IF(Z21&lt;=Rota_Nota,"SIM","—"))</f>
        <v/>
      </c>
      <c r="AS21" s="15" t="str">
        <f aca="false">IF(AN21="","",IF(AP21="SIM",IF(AJ21&gt;=Corte,"Projeto estratégico","Evitar"),AO21))</f>
        <v/>
      </c>
      <c r="AT21" s="15" t="str">
        <f aca="false">IF(AN21="","",IF(OR(AND(AJ21&gt;=Fr_Min,AJ21&lt;=Fr_Max),AND(AM21&gt;=Fr_Min,AM21&lt;=Fr_Max)),"Revisar",""))</f>
        <v/>
      </c>
      <c r="AU21" s="15" t="str">
        <f aca="false">IF(BE21="","",COUNTIF($BE$6:$BE$105,"&gt;"&amp;BE21)+1)</f>
        <v/>
      </c>
      <c r="AV21" s="16"/>
      <c r="AW21" s="15" t="str">
        <f aca="false">IF(B21="","",IF(AV21&lt;&gt;"",AV21,'MEUS PROCESSOS'!M21))</f>
        <v/>
      </c>
      <c r="AX21" s="23"/>
      <c r="AY21" s="31" t="str">
        <f aca="false">IF(AW21="","",IF(AX21&lt;&gt;"",AX21,IF(AW21="S",Red_S,IF(AW21="P",Red_P,IF(AW21="A",Red_A,IF(AW21="IA",Red_IA,""))))))</f>
        <v/>
      </c>
      <c r="AZ21" s="27" t="str">
        <f aca="false">IF(OR(V21="",AY21=""),"",(T21+U21)*AY21)</f>
        <v/>
      </c>
      <c r="BA21" s="27" t="str">
        <f aca="false">IF(OR(V21="",AY21=""),"",(R21+S21)*AY21)</f>
        <v/>
      </c>
      <c r="BB21" s="27" t="str">
        <f aca="false">IF(AZ21="","",AZ21+BA21)</f>
        <v/>
      </c>
      <c r="BC21" s="27" t="str">
        <f aca="false">IF(OR(P21="",AY21=""),"",(P21*(1+N(J21))+N(M21))*12*AY21)</f>
        <v/>
      </c>
      <c r="BD21" s="18" t="str">
        <f aca="false">IF(B21="","",IF(AND(AW21="E",AX21=""),"Eliminar: informe quanto do esforço atual deixa de existir (0% a 100%). Não há percentual inicial sugerido.",IF(AND(AX21="",AY21&lt;&gt;""),"Redução pela faixa inicial para simulação","")))</f>
        <v/>
      </c>
      <c r="BE21" s="19" t="str">
        <f aca="false">IF(AND(AN21&lt;&gt;"",D21=1),AN21+(1000-A21)/1000000,"")</f>
        <v/>
      </c>
    </row>
    <row r="22" customFormat="false" ht="15" hidden="false" customHeight="false" outlineLevel="0" collapsed="false">
      <c r="A22" s="15" t="n">
        <v>17</v>
      </c>
      <c r="B22" s="18" t="str">
        <f aca="false">IF('MEUS PROCESSOS'!J22="","",'MEUS PROCESSOS'!J22)</f>
        <v/>
      </c>
      <c r="C22" s="15" t="str">
        <f aca="false">IF('MEUS PROCESSOS'!K22="","",'MEUS PROCESSOS'!K22)</f>
        <v/>
      </c>
      <c r="D22" s="19" t="n">
        <f aca="false">'MEUS PROCESSOS'!Q22</f>
        <v>0</v>
      </c>
      <c r="E22" s="16"/>
      <c r="F22" s="16"/>
      <c r="G22" s="16"/>
      <c r="H22" s="16"/>
      <c r="I22" s="22"/>
      <c r="J22" s="23"/>
      <c r="K22" s="16"/>
      <c r="L22" s="24"/>
      <c r="M22" s="16"/>
      <c r="N22" s="24"/>
      <c r="O22" s="25" t="str">
        <f aca="false">IF(OR(E22="",F22=""),"",F22*IF(E22="Diária",Mult_Diaria,IF(E22="Semanal",Mult_Semanal,1)))</f>
        <v/>
      </c>
      <c r="P22" s="25" t="str">
        <f aca="false">IF(OR(O22="",G22="",H22=""),"",O22*G22/60*H22)</f>
        <v/>
      </c>
      <c r="Q22" s="26" t="str">
        <f aca="false">IF(I22&lt;&gt;"",I22,IF(Custo_Hora_Padrao&lt;&gt;"",Custo_Hora_Padrao,""))</f>
        <v/>
      </c>
      <c r="R22" s="27" t="str">
        <f aca="false">IF(OR(P22="",Q22=""),"",P22*Q22*12)</f>
        <v/>
      </c>
      <c r="S22" s="27" t="str">
        <f aca="false">IF(R22="","",R22*N(J22))</f>
        <v/>
      </c>
      <c r="T22" s="27" t="str">
        <f aca="false">IF(R22="","",N(K22)*N(L22)*12)</f>
        <v/>
      </c>
      <c r="U22" s="27" t="str">
        <f aca="false">IF(R22="","",(N(M22)*Q22*HE_Fator+N(N22))*12)</f>
        <v/>
      </c>
      <c r="V22" s="28" t="str">
        <f aca="false">IF(R22="","",R22+S22+T22+U22)</f>
        <v/>
      </c>
      <c r="W22" s="15" t="str">
        <f aca="false">IF(V22="","",IF(V22&lt;=Faixa_1,1,IF(V22&lt;=Faixa_2,2,IF(V22&lt;=Faixa_3,3,IF(V22&lt;=Faixa_4,4,5)))))</f>
        <v/>
      </c>
      <c r="X22" s="16"/>
      <c r="Y22" s="16"/>
      <c r="Z22" s="16"/>
      <c r="AA22" s="16"/>
      <c r="AB22" s="16"/>
      <c r="AC22" s="16"/>
      <c r="AD22" s="16"/>
      <c r="AE22" s="16"/>
      <c r="AF22" s="15" t="str">
        <f aca="false">IF(AB22&lt;&gt;"",AB22,IF('MEUS PROCESSOS'!N22="Alto",Sug_Alto,IF('MEUS PROCESSOS'!N22="Médio",Sug_Medio,IF('MEUS PROCESSOS'!N22="Baixo",Sug_Baixo,""))))</f>
        <v/>
      </c>
      <c r="AG22" s="15" t="str">
        <f aca="false">IF(AC22&lt;&gt;"",AC22,IF('MEUS PROCESSOS'!O22="Alto",Sug_Alto,IF('MEUS PROCESSOS'!O22="Médio",Sug_Medio,IF('MEUS PROCESSOS'!O22="Baixo",Sug_Baixo,""))))</f>
        <v/>
      </c>
      <c r="AH22" s="15" t="str">
        <f aca="false">IF(B22="","",IF(AND(AB22&lt;&gt;"",AC22&lt;&gt;""),"Avaliado pela empresa",IF(AND(AB22="",AC22="",'MEUS PROCESSOS'!N22&lt;&gt;""),"Sugestão da biblioteca",IF('MEUS PROCESSOS'!N22&lt;&gt;"","Parcialmente sugerido",IF(AND(AB22="",AC22=""),"","Avaliado pela empresa")))))</f>
        <v/>
      </c>
      <c r="AI22" s="18" t="str">
        <f aca="false">IF(B22="","",IF(AND((COUNTBLANK(X22:AA22)+COUNTBLANK(AD22:AE22)+(AF22="")*1+(AG22="")*1)=0,W22&lt;&gt;""),"Completo","Incompleto — faltam "&amp;IF((COUNTBLANK(X22:AA22)+COUNTBLANK(AD22:AE22)+(AF22="")*1+(AG22="")*1)&gt;0,(COUNTBLANK(X22:AA22)+COUNTBLANK(AD22:AE22)+(AF22="")*1+(AG22="")*1)&amp;IF((COUNTBLANK(X22:AA22)+COUNTBLANK(AD22:AE22)+(AF22="")*1+(AG22="")*1)=1," avaliação"," avaliações"),"")&amp;IF(AND((COUNTBLANK(X22:AA22)+COUNTBLANK(AD22:AE22)+(AF22="")*1+(AG22="")*1)&gt;0,W22=""), " e ","")&amp;IF(W22="","os dados de custo","")))</f>
        <v/>
      </c>
      <c r="AJ22" s="29" t="str">
        <f aca="false">IF($AI22&lt;&gt;"Completo","",W_Custo*(W22-1)/4+W_Imp*(X22-1)/4)</f>
        <v/>
      </c>
      <c r="AK22" s="29" t="str">
        <f aca="false">IF($AI22&lt;&gt;"Completo","",W_Pot*(MAX(AF22,AG22)-1)/4+W_Rep*(Y22-1)/4+W_Pad*(Z22-1)/4+W_Vol*(AA22-1)/4)</f>
        <v/>
      </c>
      <c r="AL22" s="29" t="str">
        <f aca="false">IF($AI22&lt;&gt;"Completo","",(1-F_Pen*(AE22-1)/4)*(1-F_Pen*(AD22-1)/4))</f>
        <v/>
      </c>
      <c r="AM22" s="29" t="str">
        <f aca="false">IF($AI22&lt;&gt;"Completo","",SQRT(AK22*AL22))</f>
        <v/>
      </c>
      <c r="AN22" s="30" t="str">
        <f aca="false">IF($AI22&lt;&gt;"Completo","",100*AJ22^Exp_V*AM22^Exp_Vb)</f>
        <v/>
      </c>
      <c r="AO22" s="15" t="str">
        <f aca="false">IF(AN22="","",IF(AJ22&gt;=Corte,IF(AM22&gt;=Corte,"Fazer primeiro","Projeto estratégico"),IF(AM22&gt;=Corte,"Quick win","Evitar")))</f>
        <v/>
      </c>
      <c r="AP22" s="15" t="str">
        <f aca="false">IF(AN22="","",IF(OR(AD22&gt;=Trava_Nota,AE22&gt;=Trava_Nota),"SIM","—"))</f>
        <v/>
      </c>
      <c r="AQ22" s="15" t="str">
        <f aca="false">IF(AN22="","",IF(MAX(AF22,AG22)&lt;=Rota_Nota,"SIM","—"))</f>
        <v/>
      </c>
      <c r="AR22" s="15" t="str">
        <f aca="false">IF(AN22="","",IF(Z22&lt;=Rota_Nota,"SIM","—"))</f>
        <v/>
      </c>
      <c r="AS22" s="15" t="str">
        <f aca="false">IF(AN22="","",IF(AP22="SIM",IF(AJ22&gt;=Corte,"Projeto estratégico","Evitar"),AO22))</f>
        <v/>
      </c>
      <c r="AT22" s="15" t="str">
        <f aca="false">IF(AN22="","",IF(OR(AND(AJ22&gt;=Fr_Min,AJ22&lt;=Fr_Max),AND(AM22&gt;=Fr_Min,AM22&lt;=Fr_Max)),"Revisar",""))</f>
        <v/>
      </c>
      <c r="AU22" s="15" t="str">
        <f aca="false">IF(BE22="","",COUNTIF($BE$6:$BE$105,"&gt;"&amp;BE22)+1)</f>
        <v/>
      </c>
      <c r="AV22" s="16"/>
      <c r="AW22" s="15" t="str">
        <f aca="false">IF(B22="","",IF(AV22&lt;&gt;"",AV22,'MEUS PROCESSOS'!M22))</f>
        <v/>
      </c>
      <c r="AX22" s="23"/>
      <c r="AY22" s="31" t="str">
        <f aca="false">IF(AW22="","",IF(AX22&lt;&gt;"",AX22,IF(AW22="S",Red_S,IF(AW22="P",Red_P,IF(AW22="A",Red_A,IF(AW22="IA",Red_IA,""))))))</f>
        <v/>
      </c>
      <c r="AZ22" s="27" t="str">
        <f aca="false">IF(OR(V22="",AY22=""),"",(T22+U22)*AY22)</f>
        <v/>
      </c>
      <c r="BA22" s="27" t="str">
        <f aca="false">IF(OR(V22="",AY22=""),"",(R22+S22)*AY22)</f>
        <v/>
      </c>
      <c r="BB22" s="27" t="str">
        <f aca="false">IF(AZ22="","",AZ22+BA22)</f>
        <v/>
      </c>
      <c r="BC22" s="27" t="str">
        <f aca="false">IF(OR(P22="",AY22=""),"",(P22*(1+N(J22))+N(M22))*12*AY22)</f>
        <v/>
      </c>
      <c r="BD22" s="18" t="str">
        <f aca="false">IF(B22="","",IF(AND(AW22="E",AX22=""),"Eliminar: informe quanto do esforço atual deixa de existir (0% a 100%). Não há percentual inicial sugerido.",IF(AND(AX22="",AY22&lt;&gt;""),"Redução pela faixa inicial para simulação","")))</f>
        <v/>
      </c>
      <c r="BE22" s="19" t="str">
        <f aca="false">IF(AND(AN22&lt;&gt;"",D22=1),AN22+(1000-A22)/1000000,"")</f>
        <v/>
      </c>
    </row>
    <row r="23" customFormat="false" ht="15" hidden="false" customHeight="false" outlineLevel="0" collapsed="false">
      <c r="A23" s="15" t="n">
        <v>18</v>
      </c>
      <c r="B23" s="18" t="str">
        <f aca="false">IF('MEUS PROCESSOS'!J23="","",'MEUS PROCESSOS'!J23)</f>
        <v/>
      </c>
      <c r="C23" s="15" t="str">
        <f aca="false">IF('MEUS PROCESSOS'!K23="","",'MEUS PROCESSOS'!K23)</f>
        <v/>
      </c>
      <c r="D23" s="19" t="n">
        <f aca="false">'MEUS PROCESSOS'!Q23</f>
        <v>0</v>
      </c>
      <c r="E23" s="16"/>
      <c r="F23" s="16"/>
      <c r="G23" s="16"/>
      <c r="H23" s="16"/>
      <c r="I23" s="22"/>
      <c r="J23" s="23"/>
      <c r="K23" s="16"/>
      <c r="L23" s="24"/>
      <c r="M23" s="16"/>
      <c r="N23" s="24"/>
      <c r="O23" s="25" t="str">
        <f aca="false">IF(OR(E23="",F23=""),"",F23*IF(E23="Diária",Mult_Diaria,IF(E23="Semanal",Mult_Semanal,1)))</f>
        <v/>
      </c>
      <c r="P23" s="25" t="str">
        <f aca="false">IF(OR(O23="",G23="",H23=""),"",O23*G23/60*H23)</f>
        <v/>
      </c>
      <c r="Q23" s="26" t="str">
        <f aca="false">IF(I23&lt;&gt;"",I23,IF(Custo_Hora_Padrao&lt;&gt;"",Custo_Hora_Padrao,""))</f>
        <v/>
      </c>
      <c r="R23" s="27" t="str">
        <f aca="false">IF(OR(P23="",Q23=""),"",P23*Q23*12)</f>
        <v/>
      </c>
      <c r="S23" s="27" t="str">
        <f aca="false">IF(R23="","",R23*N(J23))</f>
        <v/>
      </c>
      <c r="T23" s="27" t="str">
        <f aca="false">IF(R23="","",N(K23)*N(L23)*12)</f>
        <v/>
      </c>
      <c r="U23" s="27" t="str">
        <f aca="false">IF(R23="","",(N(M23)*Q23*HE_Fator+N(N23))*12)</f>
        <v/>
      </c>
      <c r="V23" s="28" t="str">
        <f aca="false">IF(R23="","",R23+S23+T23+U23)</f>
        <v/>
      </c>
      <c r="W23" s="15" t="str">
        <f aca="false">IF(V23="","",IF(V23&lt;=Faixa_1,1,IF(V23&lt;=Faixa_2,2,IF(V23&lt;=Faixa_3,3,IF(V23&lt;=Faixa_4,4,5)))))</f>
        <v/>
      </c>
      <c r="X23" s="16"/>
      <c r="Y23" s="16"/>
      <c r="Z23" s="16"/>
      <c r="AA23" s="16"/>
      <c r="AB23" s="16"/>
      <c r="AC23" s="16"/>
      <c r="AD23" s="16"/>
      <c r="AE23" s="16"/>
      <c r="AF23" s="15" t="str">
        <f aca="false">IF(AB23&lt;&gt;"",AB23,IF('MEUS PROCESSOS'!N23="Alto",Sug_Alto,IF('MEUS PROCESSOS'!N23="Médio",Sug_Medio,IF('MEUS PROCESSOS'!N23="Baixo",Sug_Baixo,""))))</f>
        <v/>
      </c>
      <c r="AG23" s="15" t="str">
        <f aca="false">IF(AC23&lt;&gt;"",AC23,IF('MEUS PROCESSOS'!O23="Alto",Sug_Alto,IF('MEUS PROCESSOS'!O23="Médio",Sug_Medio,IF('MEUS PROCESSOS'!O23="Baixo",Sug_Baixo,""))))</f>
        <v/>
      </c>
      <c r="AH23" s="15" t="str">
        <f aca="false">IF(B23="","",IF(AND(AB23&lt;&gt;"",AC23&lt;&gt;""),"Avaliado pela empresa",IF(AND(AB23="",AC23="",'MEUS PROCESSOS'!N23&lt;&gt;""),"Sugestão da biblioteca",IF('MEUS PROCESSOS'!N23&lt;&gt;"","Parcialmente sugerido",IF(AND(AB23="",AC23=""),"","Avaliado pela empresa")))))</f>
        <v/>
      </c>
      <c r="AI23" s="18" t="str">
        <f aca="false">IF(B23="","",IF(AND((COUNTBLANK(X23:AA23)+COUNTBLANK(AD23:AE23)+(AF23="")*1+(AG23="")*1)=0,W23&lt;&gt;""),"Completo","Incompleto — faltam "&amp;IF((COUNTBLANK(X23:AA23)+COUNTBLANK(AD23:AE23)+(AF23="")*1+(AG23="")*1)&gt;0,(COUNTBLANK(X23:AA23)+COUNTBLANK(AD23:AE23)+(AF23="")*1+(AG23="")*1)&amp;IF((COUNTBLANK(X23:AA23)+COUNTBLANK(AD23:AE23)+(AF23="")*1+(AG23="")*1)=1," avaliação"," avaliações"),"")&amp;IF(AND((COUNTBLANK(X23:AA23)+COUNTBLANK(AD23:AE23)+(AF23="")*1+(AG23="")*1)&gt;0,W23=""), " e ","")&amp;IF(W23="","os dados de custo","")))</f>
        <v/>
      </c>
      <c r="AJ23" s="29" t="str">
        <f aca="false">IF($AI23&lt;&gt;"Completo","",W_Custo*(W23-1)/4+W_Imp*(X23-1)/4)</f>
        <v/>
      </c>
      <c r="AK23" s="29" t="str">
        <f aca="false">IF($AI23&lt;&gt;"Completo","",W_Pot*(MAX(AF23,AG23)-1)/4+W_Rep*(Y23-1)/4+W_Pad*(Z23-1)/4+W_Vol*(AA23-1)/4)</f>
        <v/>
      </c>
      <c r="AL23" s="29" t="str">
        <f aca="false">IF($AI23&lt;&gt;"Completo","",(1-F_Pen*(AE23-1)/4)*(1-F_Pen*(AD23-1)/4))</f>
        <v/>
      </c>
      <c r="AM23" s="29" t="str">
        <f aca="false">IF($AI23&lt;&gt;"Completo","",SQRT(AK23*AL23))</f>
        <v/>
      </c>
      <c r="AN23" s="30" t="str">
        <f aca="false">IF($AI23&lt;&gt;"Completo","",100*AJ23^Exp_V*AM23^Exp_Vb)</f>
        <v/>
      </c>
      <c r="AO23" s="15" t="str">
        <f aca="false">IF(AN23="","",IF(AJ23&gt;=Corte,IF(AM23&gt;=Corte,"Fazer primeiro","Projeto estratégico"),IF(AM23&gt;=Corte,"Quick win","Evitar")))</f>
        <v/>
      </c>
      <c r="AP23" s="15" t="str">
        <f aca="false">IF(AN23="","",IF(OR(AD23&gt;=Trava_Nota,AE23&gt;=Trava_Nota),"SIM","—"))</f>
        <v/>
      </c>
      <c r="AQ23" s="15" t="str">
        <f aca="false">IF(AN23="","",IF(MAX(AF23,AG23)&lt;=Rota_Nota,"SIM","—"))</f>
        <v/>
      </c>
      <c r="AR23" s="15" t="str">
        <f aca="false">IF(AN23="","",IF(Z23&lt;=Rota_Nota,"SIM","—"))</f>
        <v/>
      </c>
      <c r="AS23" s="15" t="str">
        <f aca="false">IF(AN23="","",IF(AP23="SIM",IF(AJ23&gt;=Corte,"Projeto estratégico","Evitar"),AO23))</f>
        <v/>
      </c>
      <c r="AT23" s="15" t="str">
        <f aca="false">IF(AN23="","",IF(OR(AND(AJ23&gt;=Fr_Min,AJ23&lt;=Fr_Max),AND(AM23&gt;=Fr_Min,AM23&lt;=Fr_Max)),"Revisar",""))</f>
        <v/>
      </c>
      <c r="AU23" s="15" t="str">
        <f aca="false">IF(BE23="","",COUNTIF($BE$6:$BE$105,"&gt;"&amp;BE23)+1)</f>
        <v/>
      </c>
      <c r="AV23" s="16"/>
      <c r="AW23" s="15" t="str">
        <f aca="false">IF(B23="","",IF(AV23&lt;&gt;"",AV23,'MEUS PROCESSOS'!M23))</f>
        <v/>
      </c>
      <c r="AX23" s="23"/>
      <c r="AY23" s="31" t="str">
        <f aca="false">IF(AW23="","",IF(AX23&lt;&gt;"",AX23,IF(AW23="S",Red_S,IF(AW23="P",Red_P,IF(AW23="A",Red_A,IF(AW23="IA",Red_IA,""))))))</f>
        <v/>
      </c>
      <c r="AZ23" s="27" t="str">
        <f aca="false">IF(OR(V23="",AY23=""),"",(T23+U23)*AY23)</f>
        <v/>
      </c>
      <c r="BA23" s="27" t="str">
        <f aca="false">IF(OR(V23="",AY23=""),"",(R23+S23)*AY23)</f>
        <v/>
      </c>
      <c r="BB23" s="27" t="str">
        <f aca="false">IF(AZ23="","",AZ23+BA23)</f>
        <v/>
      </c>
      <c r="BC23" s="27" t="str">
        <f aca="false">IF(OR(P23="",AY23=""),"",(P23*(1+N(J23))+N(M23))*12*AY23)</f>
        <v/>
      </c>
      <c r="BD23" s="18" t="str">
        <f aca="false">IF(B23="","",IF(AND(AW23="E",AX23=""),"Eliminar: informe quanto do esforço atual deixa de existir (0% a 100%). Não há percentual inicial sugerido.",IF(AND(AX23="",AY23&lt;&gt;""),"Redução pela faixa inicial para simulação","")))</f>
        <v/>
      </c>
      <c r="BE23" s="19" t="str">
        <f aca="false">IF(AND(AN23&lt;&gt;"",D23=1),AN23+(1000-A23)/1000000,"")</f>
        <v/>
      </c>
    </row>
    <row r="24" customFormat="false" ht="15" hidden="false" customHeight="false" outlineLevel="0" collapsed="false">
      <c r="A24" s="15" t="n">
        <v>19</v>
      </c>
      <c r="B24" s="18" t="str">
        <f aca="false">IF('MEUS PROCESSOS'!J24="","",'MEUS PROCESSOS'!J24)</f>
        <v/>
      </c>
      <c r="C24" s="15" t="str">
        <f aca="false">IF('MEUS PROCESSOS'!K24="","",'MEUS PROCESSOS'!K24)</f>
        <v/>
      </c>
      <c r="D24" s="19" t="n">
        <f aca="false">'MEUS PROCESSOS'!Q24</f>
        <v>0</v>
      </c>
      <c r="E24" s="16"/>
      <c r="F24" s="16"/>
      <c r="G24" s="16"/>
      <c r="H24" s="16"/>
      <c r="I24" s="22"/>
      <c r="J24" s="23"/>
      <c r="K24" s="16"/>
      <c r="L24" s="24"/>
      <c r="M24" s="16"/>
      <c r="N24" s="24"/>
      <c r="O24" s="25" t="str">
        <f aca="false">IF(OR(E24="",F24=""),"",F24*IF(E24="Diária",Mult_Diaria,IF(E24="Semanal",Mult_Semanal,1)))</f>
        <v/>
      </c>
      <c r="P24" s="25" t="str">
        <f aca="false">IF(OR(O24="",G24="",H24=""),"",O24*G24/60*H24)</f>
        <v/>
      </c>
      <c r="Q24" s="26" t="str">
        <f aca="false">IF(I24&lt;&gt;"",I24,IF(Custo_Hora_Padrao&lt;&gt;"",Custo_Hora_Padrao,""))</f>
        <v/>
      </c>
      <c r="R24" s="27" t="str">
        <f aca="false">IF(OR(P24="",Q24=""),"",P24*Q24*12)</f>
        <v/>
      </c>
      <c r="S24" s="27" t="str">
        <f aca="false">IF(R24="","",R24*N(J24))</f>
        <v/>
      </c>
      <c r="T24" s="27" t="str">
        <f aca="false">IF(R24="","",N(K24)*N(L24)*12)</f>
        <v/>
      </c>
      <c r="U24" s="27" t="str">
        <f aca="false">IF(R24="","",(N(M24)*Q24*HE_Fator+N(N24))*12)</f>
        <v/>
      </c>
      <c r="V24" s="28" t="str">
        <f aca="false">IF(R24="","",R24+S24+T24+U24)</f>
        <v/>
      </c>
      <c r="W24" s="15" t="str">
        <f aca="false">IF(V24="","",IF(V24&lt;=Faixa_1,1,IF(V24&lt;=Faixa_2,2,IF(V24&lt;=Faixa_3,3,IF(V24&lt;=Faixa_4,4,5)))))</f>
        <v/>
      </c>
      <c r="X24" s="16"/>
      <c r="Y24" s="16"/>
      <c r="Z24" s="16"/>
      <c r="AA24" s="16"/>
      <c r="AB24" s="16"/>
      <c r="AC24" s="16"/>
      <c r="AD24" s="16"/>
      <c r="AE24" s="16"/>
      <c r="AF24" s="15" t="str">
        <f aca="false">IF(AB24&lt;&gt;"",AB24,IF('MEUS PROCESSOS'!N24="Alto",Sug_Alto,IF('MEUS PROCESSOS'!N24="Médio",Sug_Medio,IF('MEUS PROCESSOS'!N24="Baixo",Sug_Baixo,""))))</f>
        <v/>
      </c>
      <c r="AG24" s="15" t="str">
        <f aca="false">IF(AC24&lt;&gt;"",AC24,IF('MEUS PROCESSOS'!O24="Alto",Sug_Alto,IF('MEUS PROCESSOS'!O24="Médio",Sug_Medio,IF('MEUS PROCESSOS'!O24="Baixo",Sug_Baixo,""))))</f>
        <v/>
      </c>
      <c r="AH24" s="15" t="str">
        <f aca="false">IF(B24="","",IF(AND(AB24&lt;&gt;"",AC24&lt;&gt;""),"Avaliado pela empresa",IF(AND(AB24="",AC24="",'MEUS PROCESSOS'!N24&lt;&gt;""),"Sugestão da biblioteca",IF('MEUS PROCESSOS'!N24&lt;&gt;"","Parcialmente sugerido",IF(AND(AB24="",AC24=""),"","Avaliado pela empresa")))))</f>
        <v/>
      </c>
      <c r="AI24" s="18" t="str">
        <f aca="false">IF(B24="","",IF(AND((COUNTBLANK(X24:AA24)+COUNTBLANK(AD24:AE24)+(AF24="")*1+(AG24="")*1)=0,W24&lt;&gt;""),"Completo","Incompleto — faltam "&amp;IF((COUNTBLANK(X24:AA24)+COUNTBLANK(AD24:AE24)+(AF24="")*1+(AG24="")*1)&gt;0,(COUNTBLANK(X24:AA24)+COUNTBLANK(AD24:AE24)+(AF24="")*1+(AG24="")*1)&amp;IF((COUNTBLANK(X24:AA24)+COUNTBLANK(AD24:AE24)+(AF24="")*1+(AG24="")*1)=1," avaliação"," avaliações"),"")&amp;IF(AND((COUNTBLANK(X24:AA24)+COUNTBLANK(AD24:AE24)+(AF24="")*1+(AG24="")*1)&gt;0,W24=""), " e ","")&amp;IF(W24="","os dados de custo","")))</f>
        <v/>
      </c>
      <c r="AJ24" s="29" t="str">
        <f aca="false">IF($AI24&lt;&gt;"Completo","",W_Custo*(W24-1)/4+W_Imp*(X24-1)/4)</f>
        <v/>
      </c>
      <c r="AK24" s="29" t="str">
        <f aca="false">IF($AI24&lt;&gt;"Completo","",W_Pot*(MAX(AF24,AG24)-1)/4+W_Rep*(Y24-1)/4+W_Pad*(Z24-1)/4+W_Vol*(AA24-1)/4)</f>
        <v/>
      </c>
      <c r="AL24" s="29" t="str">
        <f aca="false">IF($AI24&lt;&gt;"Completo","",(1-F_Pen*(AE24-1)/4)*(1-F_Pen*(AD24-1)/4))</f>
        <v/>
      </c>
      <c r="AM24" s="29" t="str">
        <f aca="false">IF($AI24&lt;&gt;"Completo","",SQRT(AK24*AL24))</f>
        <v/>
      </c>
      <c r="AN24" s="30" t="str">
        <f aca="false">IF($AI24&lt;&gt;"Completo","",100*AJ24^Exp_V*AM24^Exp_Vb)</f>
        <v/>
      </c>
      <c r="AO24" s="15" t="str">
        <f aca="false">IF(AN24="","",IF(AJ24&gt;=Corte,IF(AM24&gt;=Corte,"Fazer primeiro","Projeto estratégico"),IF(AM24&gt;=Corte,"Quick win","Evitar")))</f>
        <v/>
      </c>
      <c r="AP24" s="15" t="str">
        <f aca="false">IF(AN24="","",IF(OR(AD24&gt;=Trava_Nota,AE24&gt;=Trava_Nota),"SIM","—"))</f>
        <v/>
      </c>
      <c r="AQ24" s="15" t="str">
        <f aca="false">IF(AN24="","",IF(MAX(AF24,AG24)&lt;=Rota_Nota,"SIM","—"))</f>
        <v/>
      </c>
      <c r="AR24" s="15" t="str">
        <f aca="false">IF(AN24="","",IF(Z24&lt;=Rota_Nota,"SIM","—"))</f>
        <v/>
      </c>
      <c r="AS24" s="15" t="str">
        <f aca="false">IF(AN24="","",IF(AP24="SIM",IF(AJ24&gt;=Corte,"Projeto estratégico","Evitar"),AO24))</f>
        <v/>
      </c>
      <c r="AT24" s="15" t="str">
        <f aca="false">IF(AN24="","",IF(OR(AND(AJ24&gt;=Fr_Min,AJ24&lt;=Fr_Max),AND(AM24&gt;=Fr_Min,AM24&lt;=Fr_Max)),"Revisar",""))</f>
        <v/>
      </c>
      <c r="AU24" s="15" t="str">
        <f aca="false">IF(BE24="","",COUNTIF($BE$6:$BE$105,"&gt;"&amp;BE24)+1)</f>
        <v/>
      </c>
      <c r="AV24" s="16"/>
      <c r="AW24" s="15" t="str">
        <f aca="false">IF(B24="","",IF(AV24&lt;&gt;"",AV24,'MEUS PROCESSOS'!M24))</f>
        <v/>
      </c>
      <c r="AX24" s="23"/>
      <c r="AY24" s="31" t="str">
        <f aca="false">IF(AW24="","",IF(AX24&lt;&gt;"",AX24,IF(AW24="S",Red_S,IF(AW24="P",Red_P,IF(AW24="A",Red_A,IF(AW24="IA",Red_IA,""))))))</f>
        <v/>
      </c>
      <c r="AZ24" s="27" t="str">
        <f aca="false">IF(OR(V24="",AY24=""),"",(T24+U24)*AY24)</f>
        <v/>
      </c>
      <c r="BA24" s="27" t="str">
        <f aca="false">IF(OR(V24="",AY24=""),"",(R24+S24)*AY24)</f>
        <v/>
      </c>
      <c r="BB24" s="27" t="str">
        <f aca="false">IF(AZ24="","",AZ24+BA24)</f>
        <v/>
      </c>
      <c r="BC24" s="27" t="str">
        <f aca="false">IF(OR(P24="",AY24=""),"",(P24*(1+N(J24))+N(M24))*12*AY24)</f>
        <v/>
      </c>
      <c r="BD24" s="18" t="str">
        <f aca="false">IF(B24="","",IF(AND(AW24="E",AX24=""),"Eliminar: informe quanto do esforço atual deixa de existir (0% a 100%). Não há percentual inicial sugerido.",IF(AND(AX24="",AY24&lt;&gt;""),"Redução pela faixa inicial para simulação","")))</f>
        <v/>
      </c>
      <c r="BE24" s="19" t="str">
        <f aca="false">IF(AND(AN24&lt;&gt;"",D24=1),AN24+(1000-A24)/1000000,"")</f>
        <v/>
      </c>
    </row>
    <row r="25" customFormat="false" ht="15" hidden="false" customHeight="false" outlineLevel="0" collapsed="false">
      <c r="A25" s="15" t="n">
        <v>20</v>
      </c>
      <c r="B25" s="18" t="str">
        <f aca="false">IF('MEUS PROCESSOS'!J25="","",'MEUS PROCESSOS'!J25)</f>
        <v/>
      </c>
      <c r="C25" s="15" t="str">
        <f aca="false">IF('MEUS PROCESSOS'!K25="","",'MEUS PROCESSOS'!K25)</f>
        <v/>
      </c>
      <c r="D25" s="19" t="n">
        <f aca="false">'MEUS PROCESSOS'!Q25</f>
        <v>0</v>
      </c>
      <c r="E25" s="16"/>
      <c r="F25" s="16"/>
      <c r="G25" s="16"/>
      <c r="H25" s="16"/>
      <c r="I25" s="22"/>
      <c r="J25" s="23"/>
      <c r="K25" s="16"/>
      <c r="L25" s="24"/>
      <c r="M25" s="16"/>
      <c r="N25" s="24"/>
      <c r="O25" s="25" t="str">
        <f aca="false">IF(OR(E25="",F25=""),"",F25*IF(E25="Diária",Mult_Diaria,IF(E25="Semanal",Mult_Semanal,1)))</f>
        <v/>
      </c>
      <c r="P25" s="25" t="str">
        <f aca="false">IF(OR(O25="",G25="",H25=""),"",O25*G25/60*H25)</f>
        <v/>
      </c>
      <c r="Q25" s="26" t="str">
        <f aca="false">IF(I25&lt;&gt;"",I25,IF(Custo_Hora_Padrao&lt;&gt;"",Custo_Hora_Padrao,""))</f>
        <v/>
      </c>
      <c r="R25" s="27" t="str">
        <f aca="false">IF(OR(P25="",Q25=""),"",P25*Q25*12)</f>
        <v/>
      </c>
      <c r="S25" s="27" t="str">
        <f aca="false">IF(R25="","",R25*N(J25))</f>
        <v/>
      </c>
      <c r="T25" s="27" t="str">
        <f aca="false">IF(R25="","",N(K25)*N(L25)*12)</f>
        <v/>
      </c>
      <c r="U25" s="27" t="str">
        <f aca="false">IF(R25="","",(N(M25)*Q25*HE_Fator+N(N25))*12)</f>
        <v/>
      </c>
      <c r="V25" s="28" t="str">
        <f aca="false">IF(R25="","",R25+S25+T25+U25)</f>
        <v/>
      </c>
      <c r="W25" s="15" t="str">
        <f aca="false">IF(V25="","",IF(V25&lt;=Faixa_1,1,IF(V25&lt;=Faixa_2,2,IF(V25&lt;=Faixa_3,3,IF(V25&lt;=Faixa_4,4,5)))))</f>
        <v/>
      </c>
      <c r="X25" s="16"/>
      <c r="Y25" s="16"/>
      <c r="Z25" s="16"/>
      <c r="AA25" s="16"/>
      <c r="AB25" s="16"/>
      <c r="AC25" s="16"/>
      <c r="AD25" s="16"/>
      <c r="AE25" s="16"/>
      <c r="AF25" s="15" t="str">
        <f aca="false">IF(AB25&lt;&gt;"",AB25,IF('MEUS PROCESSOS'!N25="Alto",Sug_Alto,IF('MEUS PROCESSOS'!N25="Médio",Sug_Medio,IF('MEUS PROCESSOS'!N25="Baixo",Sug_Baixo,""))))</f>
        <v/>
      </c>
      <c r="AG25" s="15" t="str">
        <f aca="false">IF(AC25&lt;&gt;"",AC25,IF('MEUS PROCESSOS'!O25="Alto",Sug_Alto,IF('MEUS PROCESSOS'!O25="Médio",Sug_Medio,IF('MEUS PROCESSOS'!O25="Baixo",Sug_Baixo,""))))</f>
        <v/>
      </c>
      <c r="AH25" s="15" t="str">
        <f aca="false">IF(B25="","",IF(AND(AB25&lt;&gt;"",AC25&lt;&gt;""),"Avaliado pela empresa",IF(AND(AB25="",AC25="",'MEUS PROCESSOS'!N25&lt;&gt;""),"Sugestão da biblioteca",IF('MEUS PROCESSOS'!N25&lt;&gt;"","Parcialmente sugerido",IF(AND(AB25="",AC25=""),"","Avaliado pela empresa")))))</f>
        <v/>
      </c>
      <c r="AI25" s="18" t="str">
        <f aca="false">IF(B25="","",IF(AND((COUNTBLANK(X25:AA25)+COUNTBLANK(AD25:AE25)+(AF25="")*1+(AG25="")*1)=0,W25&lt;&gt;""),"Completo","Incompleto — faltam "&amp;IF((COUNTBLANK(X25:AA25)+COUNTBLANK(AD25:AE25)+(AF25="")*1+(AG25="")*1)&gt;0,(COUNTBLANK(X25:AA25)+COUNTBLANK(AD25:AE25)+(AF25="")*1+(AG25="")*1)&amp;IF((COUNTBLANK(X25:AA25)+COUNTBLANK(AD25:AE25)+(AF25="")*1+(AG25="")*1)=1," avaliação"," avaliações"),"")&amp;IF(AND((COUNTBLANK(X25:AA25)+COUNTBLANK(AD25:AE25)+(AF25="")*1+(AG25="")*1)&gt;0,W25=""), " e ","")&amp;IF(W25="","os dados de custo","")))</f>
        <v/>
      </c>
      <c r="AJ25" s="29" t="str">
        <f aca="false">IF($AI25&lt;&gt;"Completo","",W_Custo*(W25-1)/4+W_Imp*(X25-1)/4)</f>
        <v/>
      </c>
      <c r="AK25" s="29" t="str">
        <f aca="false">IF($AI25&lt;&gt;"Completo","",W_Pot*(MAX(AF25,AG25)-1)/4+W_Rep*(Y25-1)/4+W_Pad*(Z25-1)/4+W_Vol*(AA25-1)/4)</f>
        <v/>
      </c>
      <c r="AL25" s="29" t="str">
        <f aca="false">IF($AI25&lt;&gt;"Completo","",(1-F_Pen*(AE25-1)/4)*(1-F_Pen*(AD25-1)/4))</f>
        <v/>
      </c>
      <c r="AM25" s="29" t="str">
        <f aca="false">IF($AI25&lt;&gt;"Completo","",SQRT(AK25*AL25))</f>
        <v/>
      </c>
      <c r="AN25" s="30" t="str">
        <f aca="false">IF($AI25&lt;&gt;"Completo","",100*AJ25^Exp_V*AM25^Exp_Vb)</f>
        <v/>
      </c>
      <c r="AO25" s="15" t="str">
        <f aca="false">IF(AN25="","",IF(AJ25&gt;=Corte,IF(AM25&gt;=Corte,"Fazer primeiro","Projeto estratégico"),IF(AM25&gt;=Corte,"Quick win","Evitar")))</f>
        <v/>
      </c>
      <c r="AP25" s="15" t="str">
        <f aca="false">IF(AN25="","",IF(OR(AD25&gt;=Trava_Nota,AE25&gt;=Trava_Nota),"SIM","—"))</f>
        <v/>
      </c>
      <c r="AQ25" s="15" t="str">
        <f aca="false">IF(AN25="","",IF(MAX(AF25,AG25)&lt;=Rota_Nota,"SIM","—"))</f>
        <v/>
      </c>
      <c r="AR25" s="15" t="str">
        <f aca="false">IF(AN25="","",IF(Z25&lt;=Rota_Nota,"SIM","—"))</f>
        <v/>
      </c>
      <c r="AS25" s="15" t="str">
        <f aca="false">IF(AN25="","",IF(AP25="SIM",IF(AJ25&gt;=Corte,"Projeto estratégico","Evitar"),AO25))</f>
        <v/>
      </c>
      <c r="AT25" s="15" t="str">
        <f aca="false">IF(AN25="","",IF(OR(AND(AJ25&gt;=Fr_Min,AJ25&lt;=Fr_Max),AND(AM25&gt;=Fr_Min,AM25&lt;=Fr_Max)),"Revisar",""))</f>
        <v/>
      </c>
      <c r="AU25" s="15" t="str">
        <f aca="false">IF(BE25="","",COUNTIF($BE$6:$BE$105,"&gt;"&amp;BE25)+1)</f>
        <v/>
      </c>
      <c r="AV25" s="16"/>
      <c r="AW25" s="15" t="str">
        <f aca="false">IF(B25="","",IF(AV25&lt;&gt;"",AV25,'MEUS PROCESSOS'!M25))</f>
        <v/>
      </c>
      <c r="AX25" s="23"/>
      <c r="AY25" s="31" t="str">
        <f aca="false">IF(AW25="","",IF(AX25&lt;&gt;"",AX25,IF(AW25="S",Red_S,IF(AW25="P",Red_P,IF(AW25="A",Red_A,IF(AW25="IA",Red_IA,""))))))</f>
        <v/>
      </c>
      <c r="AZ25" s="27" t="str">
        <f aca="false">IF(OR(V25="",AY25=""),"",(T25+U25)*AY25)</f>
        <v/>
      </c>
      <c r="BA25" s="27" t="str">
        <f aca="false">IF(OR(V25="",AY25=""),"",(R25+S25)*AY25)</f>
        <v/>
      </c>
      <c r="BB25" s="27" t="str">
        <f aca="false">IF(AZ25="","",AZ25+BA25)</f>
        <v/>
      </c>
      <c r="BC25" s="27" t="str">
        <f aca="false">IF(OR(P25="",AY25=""),"",(P25*(1+N(J25))+N(M25))*12*AY25)</f>
        <v/>
      </c>
      <c r="BD25" s="18" t="str">
        <f aca="false">IF(B25="","",IF(AND(AW25="E",AX25=""),"Eliminar: informe quanto do esforço atual deixa de existir (0% a 100%). Não há percentual inicial sugerido.",IF(AND(AX25="",AY25&lt;&gt;""),"Redução pela faixa inicial para simulação","")))</f>
        <v/>
      </c>
      <c r="BE25" s="19" t="str">
        <f aca="false">IF(AND(AN25&lt;&gt;"",D25=1),AN25+(1000-A25)/1000000,"")</f>
        <v/>
      </c>
    </row>
    <row r="26" customFormat="false" ht="15" hidden="false" customHeight="false" outlineLevel="0" collapsed="false">
      <c r="A26" s="15" t="n">
        <v>21</v>
      </c>
      <c r="B26" s="18" t="str">
        <f aca="false">IF('MEUS PROCESSOS'!J26="","",'MEUS PROCESSOS'!J26)</f>
        <v/>
      </c>
      <c r="C26" s="15" t="str">
        <f aca="false">IF('MEUS PROCESSOS'!K26="","",'MEUS PROCESSOS'!K26)</f>
        <v/>
      </c>
      <c r="D26" s="19" t="n">
        <f aca="false">'MEUS PROCESSOS'!Q26</f>
        <v>0</v>
      </c>
      <c r="E26" s="16"/>
      <c r="F26" s="16"/>
      <c r="G26" s="16"/>
      <c r="H26" s="16"/>
      <c r="I26" s="22"/>
      <c r="J26" s="23"/>
      <c r="K26" s="16"/>
      <c r="L26" s="24"/>
      <c r="M26" s="16"/>
      <c r="N26" s="24"/>
      <c r="O26" s="25" t="str">
        <f aca="false">IF(OR(E26="",F26=""),"",F26*IF(E26="Diária",Mult_Diaria,IF(E26="Semanal",Mult_Semanal,1)))</f>
        <v/>
      </c>
      <c r="P26" s="25" t="str">
        <f aca="false">IF(OR(O26="",G26="",H26=""),"",O26*G26/60*H26)</f>
        <v/>
      </c>
      <c r="Q26" s="26" t="str">
        <f aca="false">IF(I26&lt;&gt;"",I26,IF(Custo_Hora_Padrao&lt;&gt;"",Custo_Hora_Padrao,""))</f>
        <v/>
      </c>
      <c r="R26" s="27" t="str">
        <f aca="false">IF(OR(P26="",Q26=""),"",P26*Q26*12)</f>
        <v/>
      </c>
      <c r="S26" s="27" t="str">
        <f aca="false">IF(R26="","",R26*N(J26))</f>
        <v/>
      </c>
      <c r="T26" s="27" t="str">
        <f aca="false">IF(R26="","",N(K26)*N(L26)*12)</f>
        <v/>
      </c>
      <c r="U26" s="27" t="str">
        <f aca="false">IF(R26="","",(N(M26)*Q26*HE_Fator+N(N26))*12)</f>
        <v/>
      </c>
      <c r="V26" s="28" t="str">
        <f aca="false">IF(R26="","",R26+S26+T26+U26)</f>
        <v/>
      </c>
      <c r="W26" s="15" t="str">
        <f aca="false">IF(V26="","",IF(V26&lt;=Faixa_1,1,IF(V26&lt;=Faixa_2,2,IF(V26&lt;=Faixa_3,3,IF(V26&lt;=Faixa_4,4,5)))))</f>
        <v/>
      </c>
      <c r="X26" s="16"/>
      <c r="Y26" s="16"/>
      <c r="Z26" s="16"/>
      <c r="AA26" s="16"/>
      <c r="AB26" s="16"/>
      <c r="AC26" s="16"/>
      <c r="AD26" s="16"/>
      <c r="AE26" s="16"/>
      <c r="AF26" s="15" t="str">
        <f aca="false">IF(AB26&lt;&gt;"",AB26,IF('MEUS PROCESSOS'!N26="Alto",Sug_Alto,IF('MEUS PROCESSOS'!N26="Médio",Sug_Medio,IF('MEUS PROCESSOS'!N26="Baixo",Sug_Baixo,""))))</f>
        <v/>
      </c>
      <c r="AG26" s="15" t="str">
        <f aca="false">IF(AC26&lt;&gt;"",AC26,IF('MEUS PROCESSOS'!O26="Alto",Sug_Alto,IF('MEUS PROCESSOS'!O26="Médio",Sug_Medio,IF('MEUS PROCESSOS'!O26="Baixo",Sug_Baixo,""))))</f>
        <v/>
      </c>
      <c r="AH26" s="15" t="str">
        <f aca="false">IF(B26="","",IF(AND(AB26&lt;&gt;"",AC26&lt;&gt;""),"Avaliado pela empresa",IF(AND(AB26="",AC26="",'MEUS PROCESSOS'!N26&lt;&gt;""),"Sugestão da biblioteca",IF('MEUS PROCESSOS'!N26&lt;&gt;"","Parcialmente sugerido",IF(AND(AB26="",AC26=""),"","Avaliado pela empresa")))))</f>
        <v/>
      </c>
      <c r="AI26" s="18" t="str">
        <f aca="false">IF(B26="","",IF(AND((COUNTBLANK(X26:AA26)+COUNTBLANK(AD26:AE26)+(AF26="")*1+(AG26="")*1)=0,W26&lt;&gt;""),"Completo","Incompleto — faltam "&amp;IF((COUNTBLANK(X26:AA26)+COUNTBLANK(AD26:AE26)+(AF26="")*1+(AG26="")*1)&gt;0,(COUNTBLANK(X26:AA26)+COUNTBLANK(AD26:AE26)+(AF26="")*1+(AG26="")*1)&amp;IF((COUNTBLANK(X26:AA26)+COUNTBLANK(AD26:AE26)+(AF26="")*1+(AG26="")*1)=1," avaliação"," avaliações"),"")&amp;IF(AND((COUNTBLANK(X26:AA26)+COUNTBLANK(AD26:AE26)+(AF26="")*1+(AG26="")*1)&gt;0,W26=""), " e ","")&amp;IF(W26="","os dados de custo","")))</f>
        <v/>
      </c>
      <c r="AJ26" s="29" t="str">
        <f aca="false">IF($AI26&lt;&gt;"Completo","",W_Custo*(W26-1)/4+W_Imp*(X26-1)/4)</f>
        <v/>
      </c>
      <c r="AK26" s="29" t="str">
        <f aca="false">IF($AI26&lt;&gt;"Completo","",W_Pot*(MAX(AF26,AG26)-1)/4+W_Rep*(Y26-1)/4+W_Pad*(Z26-1)/4+W_Vol*(AA26-1)/4)</f>
        <v/>
      </c>
      <c r="AL26" s="29" t="str">
        <f aca="false">IF($AI26&lt;&gt;"Completo","",(1-F_Pen*(AE26-1)/4)*(1-F_Pen*(AD26-1)/4))</f>
        <v/>
      </c>
      <c r="AM26" s="29" t="str">
        <f aca="false">IF($AI26&lt;&gt;"Completo","",SQRT(AK26*AL26))</f>
        <v/>
      </c>
      <c r="AN26" s="30" t="str">
        <f aca="false">IF($AI26&lt;&gt;"Completo","",100*AJ26^Exp_V*AM26^Exp_Vb)</f>
        <v/>
      </c>
      <c r="AO26" s="15" t="str">
        <f aca="false">IF(AN26="","",IF(AJ26&gt;=Corte,IF(AM26&gt;=Corte,"Fazer primeiro","Projeto estratégico"),IF(AM26&gt;=Corte,"Quick win","Evitar")))</f>
        <v/>
      </c>
      <c r="AP26" s="15" t="str">
        <f aca="false">IF(AN26="","",IF(OR(AD26&gt;=Trava_Nota,AE26&gt;=Trava_Nota),"SIM","—"))</f>
        <v/>
      </c>
      <c r="AQ26" s="15" t="str">
        <f aca="false">IF(AN26="","",IF(MAX(AF26,AG26)&lt;=Rota_Nota,"SIM","—"))</f>
        <v/>
      </c>
      <c r="AR26" s="15" t="str">
        <f aca="false">IF(AN26="","",IF(Z26&lt;=Rota_Nota,"SIM","—"))</f>
        <v/>
      </c>
      <c r="AS26" s="15" t="str">
        <f aca="false">IF(AN26="","",IF(AP26="SIM",IF(AJ26&gt;=Corte,"Projeto estratégico","Evitar"),AO26))</f>
        <v/>
      </c>
      <c r="AT26" s="15" t="str">
        <f aca="false">IF(AN26="","",IF(OR(AND(AJ26&gt;=Fr_Min,AJ26&lt;=Fr_Max),AND(AM26&gt;=Fr_Min,AM26&lt;=Fr_Max)),"Revisar",""))</f>
        <v/>
      </c>
      <c r="AU26" s="15" t="str">
        <f aca="false">IF(BE26="","",COUNTIF($BE$6:$BE$105,"&gt;"&amp;BE26)+1)</f>
        <v/>
      </c>
      <c r="AV26" s="16"/>
      <c r="AW26" s="15" t="str">
        <f aca="false">IF(B26="","",IF(AV26&lt;&gt;"",AV26,'MEUS PROCESSOS'!M26))</f>
        <v/>
      </c>
      <c r="AX26" s="23"/>
      <c r="AY26" s="31" t="str">
        <f aca="false">IF(AW26="","",IF(AX26&lt;&gt;"",AX26,IF(AW26="S",Red_S,IF(AW26="P",Red_P,IF(AW26="A",Red_A,IF(AW26="IA",Red_IA,""))))))</f>
        <v/>
      </c>
      <c r="AZ26" s="27" t="str">
        <f aca="false">IF(OR(V26="",AY26=""),"",(T26+U26)*AY26)</f>
        <v/>
      </c>
      <c r="BA26" s="27" t="str">
        <f aca="false">IF(OR(V26="",AY26=""),"",(R26+S26)*AY26)</f>
        <v/>
      </c>
      <c r="BB26" s="27" t="str">
        <f aca="false">IF(AZ26="","",AZ26+BA26)</f>
        <v/>
      </c>
      <c r="BC26" s="27" t="str">
        <f aca="false">IF(OR(P26="",AY26=""),"",(P26*(1+N(J26))+N(M26))*12*AY26)</f>
        <v/>
      </c>
      <c r="BD26" s="18" t="str">
        <f aca="false">IF(B26="","",IF(AND(AW26="E",AX26=""),"Eliminar: informe quanto do esforço atual deixa de existir (0% a 100%). Não há percentual inicial sugerido.",IF(AND(AX26="",AY26&lt;&gt;""),"Redução pela faixa inicial para simulação","")))</f>
        <v/>
      </c>
      <c r="BE26" s="19" t="str">
        <f aca="false">IF(AND(AN26&lt;&gt;"",D26=1),AN26+(1000-A26)/1000000,"")</f>
        <v/>
      </c>
    </row>
    <row r="27" customFormat="false" ht="15" hidden="false" customHeight="false" outlineLevel="0" collapsed="false">
      <c r="A27" s="15" t="n">
        <v>22</v>
      </c>
      <c r="B27" s="18" t="str">
        <f aca="false">IF('MEUS PROCESSOS'!J27="","",'MEUS PROCESSOS'!J27)</f>
        <v/>
      </c>
      <c r="C27" s="15" t="str">
        <f aca="false">IF('MEUS PROCESSOS'!K27="","",'MEUS PROCESSOS'!K27)</f>
        <v/>
      </c>
      <c r="D27" s="19" t="n">
        <f aca="false">'MEUS PROCESSOS'!Q27</f>
        <v>0</v>
      </c>
      <c r="E27" s="16"/>
      <c r="F27" s="16"/>
      <c r="G27" s="16"/>
      <c r="H27" s="16"/>
      <c r="I27" s="22"/>
      <c r="J27" s="23"/>
      <c r="K27" s="16"/>
      <c r="L27" s="24"/>
      <c r="M27" s="16"/>
      <c r="N27" s="24"/>
      <c r="O27" s="25" t="str">
        <f aca="false">IF(OR(E27="",F27=""),"",F27*IF(E27="Diária",Mult_Diaria,IF(E27="Semanal",Mult_Semanal,1)))</f>
        <v/>
      </c>
      <c r="P27" s="25" t="str">
        <f aca="false">IF(OR(O27="",G27="",H27=""),"",O27*G27/60*H27)</f>
        <v/>
      </c>
      <c r="Q27" s="26" t="str">
        <f aca="false">IF(I27&lt;&gt;"",I27,IF(Custo_Hora_Padrao&lt;&gt;"",Custo_Hora_Padrao,""))</f>
        <v/>
      </c>
      <c r="R27" s="27" t="str">
        <f aca="false">IF(OR(P27="",Q27=""),"",P27*Q27*12)</f>
        <v/>
      </c>
      <c r="S27" s="27" t="str">
        <f aca="false">IF(R27="","",R27*N(J27))</f>
        <v/>
      </c>
      <c r="T27" s="27" t="str">
        <f aca="false">IF(R27="","",N(K27)*N(L27)*12)</f>
        <v/>
      </c>
      <c r="U27" s="27" t="str">
        <f aca="false">IF(R27="","",(N(M27)*Q27*HE_Fator+N(N27))*12)</f>
        <v/>
      </c>
      <c r="V27" s="28" t="str">
        <f aca="false">IF(R27="","",R27+S27+T27+U27)</f>
        <v/>
      </c>
      <c r="W27" s="15" t="str">
        <f aca="false">IF(V27="","",IF(V27&lt;=Faixa_1,1,IF(V27&lt;=Faixa_2,2,IF(V27&lt;=Faixa_3,3,IF(V27&lt;=Faixa_4,4,5)))))</f>
        <v/>
      </c>
      <c r="X27" s="16"/>
      <c r="Y27" s="16"/>
      <c r="Z27" s="16"/>
      <c r="AA27" s="16"/>
      <c r="AB27" s="16"/>
      <c r="AC27" s="16"/>
      <c r="AD27" s="16"/>
      <c r="AE27" s="16"/>
      <c r="AF27" s="15" t="str">
        <f aca="false">IF(AB27&lt;&gt;"",AB27,IF('MEUS PROCESSOS'!N27="Alto",Sug_Alto,IF('MEUS PROCESSOS'!N27="Médio",Sug_Medio,IF('MEUS PROCESSOS'!N27="Baixo",Sug_Baixo,""))))</f>
        <v/>
      </c>
      <c r="AG27" s="15" t="str">
        <f aca="false">IF(AC27&lt;&gt;"",AC27,IF('MEUS PROCESSOS'!O27="Alto",Sug_Alto,IF('MEUS PROCESSOS'!O27="Médio",Sug_Medio,IF('MEUS PROCESSOS'!O27="Baixo",Sug_Baixo,""))))</f>
        <v/>
      </c>
      <c r="AH27" s="15" t="str">
        <f aca="false">IF(B27="","",IF(AND(AB27&lt;&gt;"",AC27&lt;&gt;""),"Avaliado pela empresa",IF(AND(AB27="",AC27="",'MEUS PROCESSOS'!N27&lt;&gt;""),"Sugestão da biblioteca",IF('MEUS PROCESSOS'!N27&lt;&gt;"","Parcialmente sugerido",IF(AND(AB27="",AC27=""),"","Avaliado pela empresa")))))</f>
        <v/>
      </c>
      <c r="AI27" s="18" t="str">
        <f aca="false">IF(B27="","",IF(AND((COUNTBLANK(X27:AA27)+COUNTBLANK(AD27:AE27)+(AF27="")*1+(AG27="")*1)=0,W27&lt;&gt;""),"Completo","Incompleto — faltam "&amp;IF((COUNTBLANK(X27:AA27)+COUNTBLANK(AD27:AE27)+(AF27="")*1+(AG27="")*1)&gt;0,(COUNTBLANK(X27:AA27)+COUNTBLANK(AD27:AE27)+(AF27="")*1+(AG27="")*1)&amp;IF((COUNTBLANK(X27:AA27)+COUNTBLANK(AD27:AE27)+(AF27="")*1+(AG27="")*1)=1," avaliação"," avaliações"),"")&amp;IF(AND((COUNTBLANK(X27:AA27)+COUNTBLANK(AD27:AE27)+(AF27="")*1+(AG27="")*1)&gt;0,W27=""), " e ","")&amp;IF(W27="","os dados de custo","")))</f>
        <v/>
      </c>
      <c r="AJ27" s="29" t="str">
        <f aca="false">IF($AI27&lt;&gt;"Completo","",W_Custo*(W27-1)/4+W_Imp*(X27-1)/4)</f>
        <v/>
      </c>
      <c r="AK27" s="29" t="str">
        <f aca="false">IF($AI27&lt;&gt;"Completo","",W_Pot*(MAX(AF27,AG27)-1)/4+W_Rep*(Y27-1)/4+W_Pad*(Z27-1)/4+W_Vol*(AA27-1)/4)</f>
        <v/>
      </c>
      <c r="AL27" s="29" t="str">
        <f aca="false">IF($AI27&lt;&gt;"Completo","",(1-F_Pen*(AE27-1)/4)*(1-F_Pen*(AD27-1)/4))</f>
        <v/>
      </c>
      <c r="AM27" s="29" t="str">
        <f aca="false">IF($AI27&lt;&gt;"Completo","",SQRT(AK27*AL27))</f>
        <v/>
      </c>
      <c r="AN27" s="30" t="str">
        <f aca="false">IF($AI27&lt;&gt;"Completo","",100*AJ27^Exp_V*AM27^Exp_Vb)</f>
        <v/>
      </c>
      <c r="AO27" s="15" t="str">
        <f aca="false">IF(AN27="","",IF(AJ27&gt;=Corte,IF(AM27&gt;=Corte,"Fazer primeiro","Projeto estratégico"),IF(AM27&gt;=Corte,"Quick win","Evitar")))</f>
        <v/>
      </c>
      <c r="AP27" s="15" t="str">
        <f aca="false">IF(AN27="","",IF(OR(AD27&gt;=Trava_Nota,AE27&gt;=Trava_Nota),"SIM","—"))</f>
        <v/>
      </c>
      <c r="AQ27" s="15" t="str">
        <f aca="false">IF(AN27="","",IF(MAX(AF27,AG27)&lt;=Rota_Nota,"SIM","—"))</f>
        <v/>
      </c>
      <c r="AR27" s="15" t="str">
        <f aca="false">IF(AN27="","",IF(Z27&lt;=Rota_Nota,"SIM","—"))</f>
        <v/>
      </c>
      <c r="AS27" s="15" t="str">
        <f aca="false">IF(AN27="","",IF(AP27="SIM",IF(AJ27&gt;=Corte,"Projeto estratégico","Evitar"),AO27))</f>
        <v/>
      </c>
      <c r="AT27" s="15" t="str">
        <f aca="false">IF(AN27="","",IF(OR(AND(AJ27&gt;=Fr_Min,AJ27&lt;=Fr_Max),AND(AM27&gt;=Fr_Min,AM27&lt;=Fr_Max)),"Revisar",""))</f>
        <v/>
      </c>
      <c r="AU27" s="15" t="str">
        <f aca="false">IF(BE27="","",COUNTIF($BE$6:$BE$105,"&gt;"&amp;BE27)+1)</f>
        <v/>
      </c>
      <c r="AV27" s="16"/>
      <c r="AW27" s="15" t="str">
        <f aca="false">IF(B27="","",IF(AV27&lt;&gt;"",AV27,'MEUS PROCESSOS'!M27))</f>
        <v/>
      </c>
      <c r="AX27" s="23"/>
      <c r="AY27" s="31" t="str">
        <f aca="false">IF(AW27="","",IF(AX27&lt;&gt;"",AX27,IF(AW27="S",Red_S,IF(AW27="P",Red_P,IF(AW27="A",Red_A,IF(AW27="IA",Red_IA,""))))))</f>
        <v/>
      </c>
      <c r="AZ27" s="27" t="str">
        <f aca="false">IF(OR(V27="",AY27=""),"",(T27+U27)*AY27)</f>
        <v/>
      </c>
      <c r="BA27" s="27" t="str">
        <f aca="false">IF(OR(V27="",AY27=""),"",(R27+S27)*AY27)</f>
        <v/>
      </c>
      <c r="BB27" s="27" t="str">
        <f aca="false">IF(AZ27="","",AZ27+BA27)</f>
        <v/>
      </c>
      <c r="BC27" s="27" t="str">
        <f aca="false">IF(OR(P27="",AY27=""),"",(P27*(1+N(J27))+N(M27))*12*AY27)</f>
        <v/>
      </c>
      <c r="BD27" s="18" t="str">
        <f aca="false">IF(B27="","",IF(AND(AW27="E",AX27=""),"Eliminar: informe quanto do esforço atual deixa de existir (0% a 100%). Não há percentual inicial sugerido.",IF(AND(AX27="",AY27&lt;&gt;""),"Redução pela faixa inicial para simulação","")))</f>
        <v/>
      </c>
      <c r="BE27" s="19" t="str">
        <f aca="false">IF(AND(AN27&lt;&gt;"",D27=1),AN27+(1000-A27)/1000000,"")</f>
        <v/>
      </c>
    </row>
    <row r="28" customFormat="false" ht="15" hidden="false" customHeight="false" outlineLevel="0" collapsed="false">
      <c r="A28" s="15" t="n">
        <v>23</v>
      </c>
      <c r="B28" s="18" t="str">
        <f aca="false">IF('MEUS PROCESSOS'!J28="","",'MEUS PROCESSOS'!J28)</f>
        <v/>
      </c>
      <c r="C28" s="15" t="str">
        <f aca="false">IF('MEUS PROCESSOS'!K28="","",'MEUS PROCESSOS'!K28)</f>
        <v/>
      </c>
      <c r="D28" s="19" t="n">
        <f aca="false">'MEUS PROCESSOS'!Q28</f>
        <v>0</v>
      </c>
      <c r="E28" s="16"/>
      <c r="F28" s="16"/>
      <c r="G28" s="16"/>
      <c r="H28" s="16"/>
      <c r="I28" s="22"/>
      <c r="J28" s="23"/>
      <c r="K28" s="16"/>
      <c r="L28" s="24"/>
      <c r="M28" s="16"/>
      <c r="N28" s="24"/>
      <c r="O28" s="25" t="str">
        <f aca="false">IF(OR(E28="",F28=""),"",F28*IF(E28="Diária",Mult_Diaria,IF(E28="Semanal",Mult_Semanal,1)))</f>
        <v/>
      </c>
      <c r="P28" s="25" t="str">
        <f aca="false">IF(OR(O28="",G28="",H28=""),"",O28*G28/60*H28)</f>
        <v/>
      </c>
      <c r="Q28" s="26" t="str">
        <f aca="false">IF(I28&lt;&gt;"",I28,IF(Custo_Hora_Padrao&lt;&gt;"",Custo_Hora_Padrao,""))</f>
        <v/>
      </c>
      <c r="R28" s="27" t="str">
        <f aca="false">IF(OR(P28="",Q28=""),"",P28*Q28*12)</f>
        <v/>
      </c>
      <c r="S28" s="27" t="str">
        <f aca="false">IF(R28="","",R28*N(J28))</f>
        <v/>
      </c>
      <c r="T28" s="27" t="str">
        <f aca="false">IF(R28="","",N(K28)*N(L28)*12)</f>
        <v/>
      </c>
      <c r="U28" s="27" t="str">
        <f aca="false">IF(R28="","",(N(M28)*Q28*HE_Fator+N(N28))*12)</f>
        <v/>
      </c>
      <c r="V28" s="28" t="str">
        <f aca="false">IF(R28="","",R28+S28+T28+U28)</f>
        <v/>
      </c>
      <c r="W28" s="15" t="str">
        <f aca="false">IF(V28="","",IF(V28&lt;=Faixa_1,1,IF(V28&lt;=Faixa_2,2,IF(V28&lt;=Faixa_3,3,IF(V28&lt;=Faixa_4,4,5)))))</f>
        <v/>
      </c>
      <c r="X28" s="16"/>
      <c r="Y28" s="16"/>
      <c r="Z28" s="16"/>
      <c r="AA28" s="16"/>
      <c r="AB28" s="16"/>
      <c r="AC28" s="16"/>
      <c r="AD28" s="16"/>
      <c r="AE28" s="16"/>
      <c r="AF28" s="15" t="str">
        <f aca="false">IF(AB28&lt;&gt;"",AB28,IF('MEUS PROCESSOS'!N28="Alto",Sug_Alto,IF('MEUS PROCESSOS'!N28="Médio",Sug_Medio,IF('MEUS PROCESSOS'!N28="Baixo",Sug_Baixo,""))))</f>
        <v/>
      </c>
      <c r="AG28" s="15" t="str">
        <f aca="false">IF(AC28&lt;&gt;"",AC28,IF('MEUS PROCESSOS'!O28="Alto",Sug_Alto,IF('MEUS PROCESSOS'!O28="Médio",Sug_Medio,IF('MEUS PROCESSOS'!O28="Baixo",Sug_Baixo,""))))</f>
        <v/>
      </c>
      <c r="AH28" s="15" t="str">
        <f aca="false">IF(B28="","",IF(AND(AB28&lt;&gt;"",AC28&lt;&gt;""),"Avaliado pela empresa",IF(AND(AB28="",AC28="",'MEUS PROCESSOS'!N28&lt;&gt;""),"Sugestão da biblioteca",IF('MEUS PROCESSOS'!N28&lt;&gt;"","Parcialmente sugerido",IF(AND(AB28="",AC28=""),"","Avaliado pela empresa")))))</f>
        <v/>
      </c>
      <c r="AI28" s="18" t="str">
        <f aca="false">IF(B28="","",IF(AND((COUNTBLANK(X28:AA28)+COUNTBLANK(AD28:AE28)+(AF28="")*1+(AG28="")*1)=0,W28&lt;&gt;""),"Completo","Incompleto — faltam "&amp;IF((COUNTBLANK(X28:AA28)+COUNTBLANK(AD28:AE28)+(AF28="")*1+(AG28="")*1)&gt;0,(COUNTBLANK(X28:AA28)+COUNTBLANK(AD28:AE28)+(AF28="")*1+(AG28="")*1)&amp;IF((COUNTBLANK(X28:AA28)+COUNTBLANK(AD28:AE28)+(AF28="")*1+(AG28="")*1)=1," avaliação"," avaliações"),"")&amp;IF(AND((COUNTBLANK(X28:AA28)+COUNTBLANK(AD28:AE28)+(AF28="")*1+(AG28="")*1)&gt;0,W28=""), " e ","")&amp;IF(W28="","os dados de custo","")))</f>
        <v/>
      </c>
      <c r="AJ28" s="29" t="str">
        <f aca="false">IF($AI28&lt;&gt;"Completo","",W_Custo*(W28-1)/4+W_Imp*(X28-1)/4)</f>
        <v/>
      </c>
      <c r="AK28" s="29" t="str">
        <f aca="false">IF($AI28&lt;&gt;"Completo","",W_Pot*(MAX(AF28,AG28)-1)/4+W_Rep*(Y28-1)/4+W_Pad*(Z28-1)/4+W_Vol*(AA28-1)/4)</f>
        <v/>
      </c>
      <c r="AL28" s="29" t="str">
        <f aca="false">IF($AI28&lt;&gt;"Completo","",(1-F_Pen*(AE28-1)/4)*(1-F_Pen*(AD28-1)/4))</f>
        <v/>
      </c>
      <c r="AM28" s="29" t="str">
        <f aca="false">IF($AI28&lt;&gt;"Completo","",SQRT(AK28*AL28))</f>
        <v/>
      </c>
      <c r="AN28" s="30" t="str">
        <f aca="false">IF($AI28&lt;&gt;"Completo","",100*AJ28^Exp_V*AM28^Exp_Vb)</f>
        <v/>
      </c>
      <c r="AO28" s="15" t="str">
        <f aca="false">IF(AN28="","",IF(AJ28&gt;=Corte,IF(AM28&gt;=Corte,"Fazer primeiro","Projeto estratégico"),IF(AM28&gt;=Corte,"Quick win","Evitar")))</f>
        <v/>
      </c>
      <c r="AP28" s="15" t="str">
        <f aca="false">IF(AN28="","",IF(OR(AD28&gt;=Trava_Nota,AE28&gt;=Trava_Nota),"SIM","—"))</f>
        <v/>
      </c>
      <c r="AQ28" s="15" t="str">
        <f aca="false">IF(AN28="","",IF(MAX(AF28,AG28)&lt;=Rota_Nota,"SIM","—"))</f>
        <v/>
      </c>
      <c r="AR28" s="15" t="str">
        <f aca="false">IF(AN28="","",IF(Z28&lt;=Rota_Nota,"SIM","—"))</f>
        <v/>
      </c>
      <c r="AS28" s="15" t="str">
        <f aca="false">IF(AN28="","",IF(AP28="SIM",IF(AJ28&gt;=Corte,"Projeto estratégico","Evitar"),AO28))</f>
        <v/>
      </c>
      <c r="AT28" s="15" t="str">
        <f aca="false">IF(AN28="","",IF(OR(AND(AJ28&gt;=Fr_Min,AJ28&lt;=Fr_Max),AND(AM28&gt;=Fr_Min,AM28&lt;=Fr_Max)),"Revisar",""))</f>
        <v/>
      </c>
      <c r="AU28" s="15" t="str">
        <f aca="false">IF(BE28="","",COUNTIF($BE$6:$BE$105,"&gt;"&amp;BE28)+1)</f>
        <v/>
      </c>
      <c r="AV28" s="16"/>
      <c r="AW28" s="15" t="str">
        <f aca="false">IF(B28="","",IF(AV28&lt;&gt;"",AV28,'MEUS PROCESSOS'!M28))</f>
        <v/>
      </c>
      <c r="AX28" s="23"/>
      <c r="AY28" s="31" t="str">
        <f aca="false">IF(AW28="","",IF(AX28&lt;&gt;"",AX28,IF(AW28="S",Red_S,IF(AW28="P",Red_P,IF(AW28="A",Red_A,IF(AW28="IA",Red_IA,""))))))</f>
        <v/>
      </c>
      <c r="AZ28" s="27" t="str">
        <f aca="false">IF(OR(V28="",AY28=""),"",(T28+U28)*AY28)</f>
        <v/>
      </c>
      <c r="BA28" s="27" t="str">
        <f aca="false">IF(OR(V28="",AY28=""),"",(R28+S28)*AY28)</f>
        <v/>
      </c>
      <c r="BB28" s="27" t="str">
        <f aca="false">IF(AZ28="","",AZ28+BA28)</f>
        <v/>
      </c>
      <c r="BC28" s="27" t="str">
        <f aca="false">IF(OR(P28="",AY28=""),"",(P28*(1+N(J28))+N(M28))*12*AY28)</f>
        <v/>
      </c>
      <c r="BD28" s="18" t="str">
        <f aca="false">IF(B28="","",IF(AND(AW28="E",AX28=""),"Eliminar: informe quanto do esforço atual deixa de existir (0% a 100%). Não há percentual inicial sugerido.",IF(AND(AX28="",AY28&lt;&gt;""),"Redução pela faixa inicial para simulação","")))</f>
        <v/>
      </c>
      <c r="BE28" s="19" t="str">
        <f aca="false">IF(AND(AN28&lt;&gt;"",D28=1),AN28+(1000-A28)/1000000,"")</f>
        <v/>
      </c>
    </row>
    <row r="29" customFormat="false" ht="15" hidden="false" customHeight="false" outlineLevel="0" collapsed="false">
      <c r="A29" s="15" t="n">
        <v>24</v>
      </c>
      <c r="B29" s="18" t="str">
        <f aca="false">IF('MEUS PROCESSOS'!J29="","",'MEUS PROCESSOS'!J29)</f>
        <v/>
      </c>
      <c r="C29" s="15" t="str">
        <f aca="false">IF('MEUS PROCESSOS'!K29="","",'MEUS PROCESSOS'!K29)</f>
        <v/>
      </c>
      <c r="D29" s="19" t="n">
        <f aca="false">'MEUS PROCESSOS'!Q29</f>
        <v>0</v>
      </c>
      <c r="E29" s="16"/>
      <c r="F29" s="16"/>
      <c r="G29" s="16"/>
      <c r="H29" s="16"/>
      <c r="I29" s="22"/>
      <c r="J29" s="23"/>
      <c r="K29" s="16"/>
      <c r="L29" s="24"/>
      <c r="M29" s="16"/>
      <c r="N29" s="24"/>
      <c r="O29" s="25" t="str">
        <f aca="false">IF(OR(E29="",F29=""),"",F29*IF(E29="Diária",Mult_Diaria,IF(E29="Semanal",Mult_Semanal,1)))</f>
        <v/>
      </c>
      <c r="P29" s="25" t="str">
        <f aca="false">IF(OR(O29="",G29="",H29=""),"",O29*G29/60*H29)</f>
        <v/>
      </c>
      <c r="Q29" s="26" t="str">
        <f aca="false">IF(I29&lt;&gt;"",I29,IF(Custo_Hora_Padrao&lt;&gt;"",Custo_Hora_Padrao,""))</f>
        <v/>
      </c>
      <c r="R29" s="27" t="str">
        <f aca="false">IF(OR(P29="",Q29=""),"",P29*Q29*12)</f>
        <v/>
      </c>
      <c r="S29" s="27" t="str">
        <f aca="false">IF(R29="","",R29*N(J29))</f>
        <v/>
      </c>
      <c r="T29" s="27" t="str">
        <f aca="false">IF(R29="","",N(K29)*N(L29)*12)</f>
        <v/>
      </c>
      <c r="U29" s="27" t="str">
        <f aca="false">IF(R29="","",(N(M29)*Q29*HE_Fator+N(N29))*12)</f>
        <v/>
      </c>
      <c r="V29" s="28" t="str">
        <f aca="false">IF(R29="","",R29+S29+T29+U29)</f>
        <v/>
      </c>
      <c r="W29" s="15" t="str">
        <f aca="false">IF(V29="","",IF(V29&lt;=Faixa_1,1,IF(V29&lt;=Faixa_2,2,IF(V29&lt;=Faixa_3,3,IF(V29&lt;=Faixa_4,4,5)))))</f>
        <v/>
      </c>
      <c r="X29" s="16"/>
      <c r="Y29" s="16"/>
      <c r="Z29" s="16"/>
      <c r="AA29" s="16"/>
      <c r="AB29" s="16"/>
      <c r="AC29" s="16"/>
      <c r="AD29" s="16"/>
      <c r="AE29" s="16"/>
      <c r="AF29" s="15" t="str">
        <f aca="false">IF(AB29&lt;&gt;"",AB29,IF('MEUS PROCESSOS'!N29="Alto",Sug_Alto,IF('MEUS PROCESSOS'!N29="Médio",Sug_Medio,IF('MEUS PROCESSOS'!N29="Baixo",Sug_Baixo,""))))</f>
        <v/>
      </c>
      <c r="AG29" s="15" t="str">
        <f aca="false">IF(AC29&lt;&gt;"",AC29,IF('MEUS PROCESSOS'!O29="Alto",Sug_Alto,IF('MEUS PROCESSOS'!O29="Médio",Sug_Medio,IF('MEUS PROCESSOS'!O29="Baixo",Sug_Baixo,""))))</f>
        <v/>
      </c>
      <c r="AH29" s="15" t="str">
        <f aca="false">IF(B29="","",IF(AND(AB29&lt;&gt;"",AC29&lt;&gt;""),"Avaliado pela empresa",IF(AND(AB29="",AC29="",'MEUS PROCESSOS'!N29&lt;&gt;""),"Sugestão da biblioteca",IF('MEUS PROCESSOS'!N29&lt;&gt;"","Parcialmente sugerido",IF(AND(AB29="",AC29=""),"","Avaliado pela empresa")))))</f>
        <v/>
      </c>
      <c r="AI29" s="18" t="str">
        <f aca="false">IF(B29="","",IF(AND((COUNTBLANK(X29:AA29)+COUNTBLANK(AD29:AE29)+(AF29="")*1+(AG29="")*1)=0,W29&lt;&gt;""),"Completo","Incompleto — faltam "&amp;IF((COUNTBLANK(X29:AA29)+COUNTBLANK(AD29:AE29)+(AF29="")*1+(AG29="")*1)&gt;0,(COUNTBLANK(X29:AA29)+COUNTBLANK(AD29:AE29)+(AF29="")*1+(AG29="")*1)&amp;IF((COUNTBLANK(X29:AA29)+COUNTBLANK(AD29:AE29)+(AF29="")*1+(AG29="")*1)=1," avaliação"," avaliações"),"")&amp;IF(AND((COUNTBLANK(X29:AA29)+COUNTBLANK(AD29:AE29)+(AF29="")*1+(AG29="")*1)&gt;0,W29=""), " e ","")&amp;IF(W29="","os dados de custo","")))</f>
        <v/>
      </c>
      <c r="AJ29" s="29" t="str">
        <f aca="false">IF($AI29&lt;&gt;"Completo","",W_Custo*(W29-1)/4+W_Imp*(X29-1)/4)</f>
        <v/>
      </c>
      <c r="AK29" s="29" t="str">
        <f aca="false">IF($AI29&lt;&gt;"Completo","",W_Pot*(MAX(AF29,AG29)-1)/4+W_Rep*(Y29-1)/4+W_Pad*(Z29-1)/4+W_Vol*(AA29-1)/4)</f>
        <v/>
      </c>
      <c r="AL29" s="29" t="str">
        <f aca="false">IF($AI29&lt;&gt;"Completo","",(1-F_Pen*(AE29-1)/4)*(1-F_Pen*(AD29-1)/4))</f>
        <v/>
      </c>
      <c r="AM29" s="29" t="str">
        <f aca="false">IF($AI29&lt;&gt;"Completo","",SQRT(AK29*AL29))</f>
        <v/>
      </c>
      <c r="AN29" s="30" t="str">
        <f aca="false">IF($AI29&lt;&gt;"Completo","",100*AJ29^Exp_V*AM29^Exp_Vb)</f>
        <v/>
      </c>
      <c r="AO29" s="15" t="str">
        <f aca="false">IF(AN29="","",IF(AJ29&gt;=Corte,IF(AM29&gt;=Corte,"Fazer primeiro","Projeto estratégico"),IF(AM29&gt;=Corte,"Quick win","Evitar")))</f>
        <v/>
      </c>
      <c r="AP29" s="15" t="str">
        <f aca="false">IF(AN29="","",IF(OR(AD29&gt;=Trava_Nota,AE29&gt;=Trava_Nota),"SIM","—"))</f>
        <v/>
      </c>
      <c r="AQ29" s="15" t="str">
        <f aca="false">IF(AN29="","",IF(MAX(AF29,AG29)&lt;=Rota_Nota,"SIM","—"))</f>
        <v/>
      </c>
      <c r="AR29" s="15" t="str">
        <f aca="false">IF(AN29="","",IF(Z29&lt;=Rota_Nota,"SIM","—"))</f>
        <v/>
      </c>
      <c r="AS29" s="15" t="str">
        <f aca="false">IF(AN29="","",IF(AP29="SIM",IF(AJ29&gt;=Corte,"Projeto estratégico","Evitar"),AO29))</f>
        <v/>
      </c>
      <c r="AT29" s="15" t="str">
        <f aca="false">IF(AN29="","",IF(OR(AND(AJ29&gt;=Fr_Min,AJ29&lt;=Fr_Max),AND(AM29&gt;=Fr_Min,AM29&lt;=Fr_Max)),"Revisar",""))</f>
        <v/>
      </c>
      <c r="AU29" s="15" t="str">
        <f aca="false">IF(BE29="","",COUNTIF($BE$6:$BE$105,"&gt;"&amp;BE29)+1)</f>
        <v/>
      </c>
      <c r="AV29" s="16"/>
      <c r="AW29" s="15" t="str">
        <f aca="false">IF(B29="","",IF(AV29&lt;&gt;"",AV29,'MEUS PROCESSOS'!M29))</f>
        <v/>
      </c>
      <c r="AX29" s="23"/>
      <c r="AY29" s="31" t="str">
        <f aca="false">IF(AW29="","",IF(AX29&lt;&gt;"",AX29,IF(AW29="S",Red_S,IF(AW29="P",Red_P,IF(AW29="A",Red_A,IF(AW29="IA",Red_IA,""))))))</f>
        <v/>
      </c>
      <c r="AZ29" s="27" t="str">
        <f aca="false">IF(OR(V29="",AY29=""),"",(T29+U29)*AY29)</f>
        <v/>
      </c>
      <c r="BA29" s="27" t="str">
        <f aca="false">IF(OR(V29="",AY29=""),"",(R29+S29)*AY29)</f>
        <v/>
      </c>
      <c r="BB29" s="27" t="str">
        <f aca="false">IF(AZ29="","",AZ29+BA29)</f>
        <v/>
      </c>
      <c r="BC29" s="27" t="str">
        <f aca="false">IF(OR(P29="",AY29=""),"",(P29*(1+N(J29))+N(M29))*12*AY29)</f>
        <v/>
      </c>
      <c r="BD29" s="18" t="str">
        <f aca="false">IF(B29="","",IF(AND(AW29="E",AX29=""),"Eliminar: informe quanto do esforço atual deixa de existir (0% a 100%). Não há percentual inicial sugerido.",IF(AND(AX29="",AY29&lt;&gt;""),"Redução pela faixa inicial para simulação","")))</f>
        <v/>
      </c>
      <c r="BE29" s="19" t="str">
        <f aca="false">IF(AND(AN29&lt;&gt;"",D29=1),AN29+(1000-A29)/1000000,"")</f>
        <v/>
      </c>
    </row>
    <row r="30" customFormat="false" ht="15" hidden="false" customHeight="false" outlineLevel="0" collapsed="false">
      <c r="A30" s="15" t="n">
        <v>25</v>
      </c>
      <c r="B30" s="18" t="str">
        <f aca="false">IF('MEUS PROCESSOS'!J30="","",'MEUS PROCESSOS'!J30)</f>
        <v/>
      </c>
      <c r="C30" s="15" t="str">
        <f aca="false">IF('MEUS PROCESSOS'!K30="","",'MEUS PROCESSOS'!K30)</f>
        <v/>
      </c>
      <c r="D30" s="19" t="n">
        <f aca="false">'MEUS PROCESSOS'!Q30</f>
        <v>0</v>
      </c>
      <c r="E30" s="16"/>
      <c r="F30" s="16"/>
      <c r="G30" s="16"/>
      <c r="H30" s="16"/>
      <c r="I30" s="22"/>
      <c r="J30" s="23"/>
      <c r="K30" s="16"/>
      <c r="L30" s="24"/>
      <c r="M30" s="16"/>
      <c r="N30" s="24"/>
      <c r="O30" s="25" t="str">
        <f aca="false">IF(OR(E30="",F30=""),"",F30*IF(E30="Diária",Mult_Diaria,IF(E30="Semanal",Mult_Semanal,1)))</f>
        <v/>
      </c>
      <c r="P30" s="25" t="str">
        <f aca="false">IF(OR(O30="",G30="",H30=""),"",O30*G30/60*H30)</f>
        <v/>
      </c>
      <c r="Q30" s="26" t="str">
        <f aca="false">IF(I30&lt;&gt;"",I30,IF(Custo_Hora_Padrao&lt;&gt;"",Custo_Hora_Padrao,""))</f>
        <v/>
      </c>
      <c r="R30" s="27" t="str">
        <f aca="false">IF(OR(P30="",Q30=""),"",P30*Q30*12)</f>
        <v/>
      </c>
      <c r="S30" s="27" t="str">
        <f aca="false">IF(R30="","",R30*N(J30))</f>
        <v/>
      </c>
      <c r="T30" s="27" t="str">
        <f aca="false">IF(R30="","",N(K30)*N(L30)*12)</f>
        <v/>
      </c>
      <c r="U30" s="27" t="str">
        <f aca="false">IF(R30="","",(N(M30)*Q30*HE_Fator+N(N30))*12)</f>
        <v/>
      </c>
      <c r="V30" s="28" t="str">
        <f aca="false">IF(R30="","",R30+S30+T30+U30)</f>
        <v/>
      </c>
      <c r="W30" s="15" t="str">
        <f aca="false">IF(V30="","",IF(V30&lt;=Faixa_1,1,IF(V30&lt;=Faixa_2,2,IF(V30&lt;=Faixa_3,3,IF(V30&lt;=Faixa_4,4,5)))))</f>
        <v/>
      </c>
      <c r="X30" s="16"/>
      <c r="Y30" s="16"/>
      <c r="Z30" s="16"/>
      <c r="AA30" s="16"/>
      <c r="AB30" s="16"/>
      <c r="AC30" s="16"/>
      <c r="AD30" s="16"/>
      <c r="AE30" s="16"/>
      <c r="AF30" s="15" t="str">
        <f aca="false">IF(AB30&lt;&gt;"",AB30,IF('MEUS PROCESSOS'!N30="Alto",Sug_Alto,IF('MEUS PROCESSOS'!N30="Médio",Sug_Medio,IF('MEUS PROCESSOS'!N30="Baixo",Sug_Baixo,""))))</f>
        <v/>
      </c>
      <c r="AG30" s="15" t="str">
        <f aca="false">IF(AC30&lt;&gt;"",AC30,IF('MEUS PROCESSOS'!O30="Alto",Sug_Alto,IF('MEUS PROCESSOS'!O30="Médio",Sug_Medio,IF('MEUS PROCESSOS'!O30="Baixo",Sug_Baixo,""))))</f>
        <v/>
      </c>
      <c r="AH30" s="15" t="str">
        <f aca="false">IF(B30="","",IF(AND(AB30&lt;&gt;"",AC30&lt;&gt;""),"Avaliado pela empresa",IF(AND(AB30="",AC30="",'MEUS PROCESSOS'!N30&lt;&gt;""),"Sugestão da biblioteca",IF('MEUS PROCESSOS'!N30&lt;&gt;"","Parcialmente sugerido",IF(AND(AB30="",AC30=""),"","Avaliado pela empresa")))))</f>
        <v/>
      </c>
      <c r="AI30" s="18" t="str">
        <f aca="false">IF(B30="","",IF(AND((COUNTBLANK(X30:AA30)+COUNTBLANK(AD30:AE30)+(AF30="")*1+(AG30="")*1)=0,W30&lt;&gt;""),"Completo","Incompleto — faltam "&amp;IF((COUNTBLANK(X30:AA30)+COUNTBLANK(AD30:AE30)+(AF30="")*1+(AG30="")*1)&gt;0,(COUNTBLANK(X30:AA30)+COUNTBLANK(AD30:AE30)+(AF30="")*1+(AG30="")*1)&amp;IF((COUNTBLANK(X30:AA30)+COUNTBLANK(AD30:AE30)+(AF30="")*1+(AG30="")*1)=1," avaliação"," avaliações"),"")&amp;IF(AND((COUNTBLANK(X30:AA30)+COUNTBLANK(AD30:AE30)+(AF30="")*1+(AG30="")*1)&gt;0,W30=""), " e ","")&amp;IF(W30="","os dados de custo","")))</f>
        <v/>
      </c>
      <c r="AJ30" s="29" t="str">
        <f aca="false">IF($AI30&lt;&gt;"Completo","",W_Custo*(W30-1)/4+W_Imp*(X30-1)/4)</f>
        <v/>
      </c>
      <c r="AK30" s="29" t="str">
        <f aca="false">IF($AI30&lt;&gt;"Completo","",W_Pot*(MAX(AF30,AG30)-1)/4+W_Rep*(Y30-1)/4+W_Pad*(Z30-1)/4+W_Vol*(AA30-1)/4)</f>
        <v/>
      </c>
      <c r="AL30" s="29" t="str">
        <f aca="false">IF($AI30&lt;&gt;"Completo","",(1-F_Pen*(AE30-1)/4)*(1-F_Pen*(AD30-1)/4))</f>
        <v/>
      </c>
      <c r="AM30" s="29" t="str">
        <f aca="false">IF($AI30&lt;&gt;"Completo","",SQRT(AK30*AL30))</f>
        <v/>
      </c>
      <c r="AN30" s="30" t="str">
        <f aca="false">IF($AI30&lt;&gt;"Completo","",100*AJ30^Exp_V*AM30^Exp_Vb)</f>
        <v/>
      </c>
      <c r="AO30" s="15" t="str">
        <f aca="false">IF(AN30="","",IF(AJ30&gt;=Corte,IF(AM30&gt;=Corte,"Fazer primeiro","Projeto estratégico"),IF(AM30&gt;=Corte,"Quick win","Evitar")))</f>
        <v/>
      </c>
      <c r="AP30" s="15" t="str">
        <f aca="false">IF(AN30="","",IF(OR(AD30&gt;=Trava_Nota,AE30&gt;=Trava_Nota),"SIM","—"))</f>
        <v/>
      </c>
      <c r="AQ30" s="15" t="str">
        <f aca="false">IF(AN30="","",IF(MAX(AF30,AG30)&lt;=Rota_Nota,"SIM","—"))</f>
        <v/>
      </c>
      <c r="AR30" s="15" t="str">
        <f aca="false">IF(AN30="","",IF(Z30&lt;=Rota_Nota,"SIM","—"))</f>
        <v/>
      </c>
      <c r="AS30" s="15" t="str">
        <f aca="false">IF(AN30="","",IF(AP30="SIM",IF(AJ30&gt;=Corte,"Projeto estratégico","Evitar"),AO30))</f>
        <v/>
      </c>
      <c r="AT30" s="15" t="str">
        <f aca="false">IF(AN30="","",IF(OR(AND(AJ30&gt;=Fr_Min,AJ30&lt;=Fr_Max),AND(AM30&gt;=Fr_Min,AM30&lt;=Fr_Max)),"Revisar",""))</f>
        <v/>
      </c>
      <c r="AU30" s="15" t="str">
        <f aca="false">IF(BE30="","",COUNTIF($BE$6:$BE$105,"&gt;"&amp;BE30)+1)</f>
        <v/>
      </c>
      <c r="AV30" s="16"/>
      <c r="AW30" s="15" t="str">
        <f aca="false">IF(B30="","",IF(AV30&lt;&gt;"",AV30,'MEUS PROCESSOS'!M30))</f>
        <v/>
      </c>
      <c r="AX30" s="23"/>
      <c r="AY30" s="31" t="str">
        <f aca="false">IF(AW30="","",IF(AX30&lt;&gt;"",AX30,IF(AW30="S",Red_S,IF(AW30="P",Red_P,IF(AW30="A",Red_A,IF(AW30="IA",Red_IA,""))))))</f>
        <v/>
      </c>
      <c r="AZ30" s="27" t="str">
        <f aca="false">IF(OR(V30="",AY30=""),"",(T30+U30)*AY30)</f>
        <v/>
      </c>
      <c r="BA30" s="27" t="str">
        <f aca="false">IF(OR(V30="",AY30=""),"",(R30+S30)*AY30)</f>
        <v/>
      </c>
      <c r="BB30" s="27" t="str">
        <f aca="false">IF(AZ30="","",AZ30+BA30)</f>
        <v/>
      </c>
      <c r="BC30" s="27" t="str">
        <f aca="false">IF(OR(P30="",AY30=""),"",(P30*(1+N(J30))+N(M30))*12*AY30)</f>
        <v/>
      </c>
      <c r="BD30" s="18" t="str">
        <f aca="false">IF(B30="","",IF(AND(AW30="E",AX30=""),"Eliminar: informe quanto do esforço atual deixa de existir (0% a 100%). Não há percentual inicial sugerido.",IF(AND(AX30="",AY30&lt;&gt;""),"Redução pela faixa inicial para simulação","")))</f>
        <v/>
      </c>
      <c r="BE30" s="19" t="str">
        <f aca="false">IF(AND(AN30&lt;&gt;"",D30=1),AN30+(1000-A30)/1000000,"")</f>
        <v/>
      </c>
    </row>
    <row r="31" customFormat="false" ht="15" hidden="false" customHeight="false" outlineLevel="0" collapsed="false">
      <c r="A31" s="15" t="n">
        <v>26</v>
      </c>
      <c r="B31" s="18" t="str">
        <f aca="false">IF('MEUS PROCESSOS'!J31="","",'MEUS PROCESSOS'!J31)</f>
        <v/>
      </c>
      <c r="C31" s="15" t="str">
        <f aca="false">IF('MEUS PROCESSOS'!K31="","",'MEUS PROCESSOS'!K31)</f>
        <v/>
      </c>
      <c r="D31" s="19" t="n">
        <f aca="false">'MEUS PROCESSOS'!Q31</f>
        <v>0</v>
      </c>
      <c r="E31" s="16"/>
      <c r="F31" s="16"/>
      <c r="G31" s="16"/>
      <c r="H31" s="16"/>
      <c r="I31" s="22"/>
      <c r="J31" s="23"/>
      <c r="K31" s="16"/>
      <c r="L31" s="24"/>
      <c r="M31" s="16"/>
      <c r="N31" s="24"/>
      <c r="O31" s="25" t="str">
        <f aca="false">IF(OR(E31="",F31=""),"",F31*IF(E31="Diária",Mult_Diaria,IF(E31="Semanal",Mult_Semanal,1)))</f>
        <v/>
      </c>
      <c r="P31" s="25" t="str">
        <f aca="false">IF(OR(O31="",G31="",H31=""),"",O31*G31/60*H31)</f>
        <v/>
      </c>
      <c r="Q31" s="26" t="str">
        <f aca="false">IF(I31&lt;&gt;"",I31,IF(Custo_Hora_Padrao&lt;&gt;"",Custo_Hora_Padrao,""))</f>
        <v/>
      </c>
      <c r="R31" s="27" t="str">
        <f aca="false">IF(OR(P31="",Q31=""),"",P31*Q31*12)</f>
        <v/>
      </c>
      <c r="S31" s="27" t="str">
        <f aca="false">IF(R31="","",R31*N(J31))</f>
        <v/>
      </c>
      <c r="T31" s="27" t="str">
        <f aca="false">IF(R31="","",N(K31)*N(L31)*12)</f>
        <v/>
      </c>
      <c r="U31" s="27" t="str">
        <f aca="false">IF(R31="","",(N(M31)*Q31*HE_Fator+N(N31))*12)</f>
        <v/>
      </c>
      <c r="V31" s="28" t="str">
        <f aca="false">IF(R31="","",R31+S31+T31+U31)</f>
        <v/>
      </c>
      <c r="W31" s="15" t="str">
        <f aca="false">IF(V31="","",IF(V31&lt;=Faixa_1,1,IF(V31&lt;=Faixa_2,2,IF(V31&lt;=Faixa_3,3,IF(V31&lt;=Faixa_4,4,5)))))</f>
        <v/>
      </c>
      <c r="X31" s="16"/>
      <c r="Y31" s="16"/>
      <c r="Z31" s="16"/>
      <c r="AA31" s="16"/>
      <c r="AB31" s="16"/>
      <c r="AC31" s="16"/>
      <c r="AD31" s="16"/>
      <c r="AE31" s="16"/>
      <c r="AF31" s="15" t="str">
        <f aca="false">IF(AB31&lt;&gt;"",AB31,IF('MEUS PROCESSOS'!N31="Alto",Sug_Alto,IF('MEUS PROCESSOS'!N31="Médio",Sug_Medio,IF('MEUS PROCESSOS'!N31="Baixo",Sug_Baixo,""))))</f>
        <v/>
      </c>
      <c r="AG31" s="15" t="str">
        <f aca="false">IF(AC31&lt;&gt;"",AC31,IF('MEUS PROCESSOS'!O31="Alto",Sug_Alto,IF('MEUS PROCESSOS'!O31="Médio",Sug_Medio,IF('MEUS PROCESSOS'!O31="Baixo",Sug_Baixo,""))))</f>
        <v/>
      </c>
      <c r="AH31" s="15" t="str">
        <f aca="false">IF(B31="","",IF(AND(AB31&lt;&gt;"",AC31&lt;&gt;""),"Avaliado pela empresa",IF(AND(AB31="",AC31="",'MEUS PROCESSOS'!N31&lt;&gt;""),"Sugestão da biblioteca",IF('MEUS PROCESSOS'!N31&lt;&gt;"","Parcialmente sugerido",IF(AND(AB31="",AC31=""),"","Avaliado pela empresa")))))</f>
        <v/>
      </c>
      <c r="AI31" s="18" t="str">
        <f aca="false">IF(B31="","",IF(AND((COUNTBLANK(X31:AA31)+COUNTBLANK(AD31:AE31)+(AF31="")*1+(AG31="")*1)=0,W31&lt;&gt;""),"Completo","Incompleto — faltam "&amp;IF((COUNTBLANK(X31:AA31)+COUNTBLANK(AD31:AE31)+(AF31="")*1+(AG31="")*1)&gt;0,(COUNTBLANK(X31:AA31)+COUNTBLANK(AD31:AE31)+(AF31="")*1+(AG31="")*1)&amp;IF((COUNTBLANK(X31:AA31)+COUNTBLANK(AD31:AE31)+(AF31="")*1+(AG31="")*1)=1," avaliação"," avaliações"),"")&amp;IF(AND((COUNTBLANK(X31:AA31)+COUNTBLANK(AD31:AE31)+(AF31="")*1+(AG31="")*1)&gt;0,W31=""), " e ","")&amp;IF(W31="","os dados de custo","")))</f>
        <v/>
      </c>
      <c r="AJ31" s="29" t="str">
        <f aca="false">IF($AI31&lt;&gt;"Completo","",W_Custo*(W31-1)/4+W_Imp*(X31-1)/4)</f>
        <v/>
      </c>
      <c r="AK31" s="29" t="str">
        <f aca="false">IF($AI31&lt;&gt;"Completo","",W_Pot*(MAX(AF31,AG31)-1)/4+W_Rep*(Y31-1)/4+W_Pad*(Z31-1)/4+W_Vol*(AA31-1)/4)</f>
        <v/>
      </c>
      <c r="AL31" s="29" t="str">
        <f aca="false">IF($AI31&lt;&gt;"Completo","",(1-F_Pen*(AE31-1)/4)*(1-F_Pen*(AD31-1)/4))</f>
        <v/>
      </c>
      <c r="AM31" s="29" t="str">
        <f aca="false">IF($AI31&lt;&gt;"Completo","",SQRT(AK31*AL31))</f>
        <v/>
      </c>
      <c r="AN31" s="30" t="str">
        <f aca="false">IF($AI31&lt;&gt;"Completo","",100*AJ31^Exp_V*AM31^Exp_Vb)</f>
        <v/>
      </c>
      <c r="AO31" s="15" t="str">
        <f aca="false">IF(AN31="","",IF(AJ31&gt;=Corte,IF(AM31&gt;=Corte,"Fazer primeiro","Projeto estratégico"),IF(AM31&gt;=Corte,"Quick win","Evitar")))</f>
        <v/>
      </c>
      <c r="AP31" s="15" t="str">
        <f aca="false">IF(AN31="","",IF(OR(AD31&gt;=Trava_Nota,AE31&gt;=Trava_Nota),"SIM","—"))</f>
        <v/>
      </c>
      <c r="AQ31" s="15" t="str">
        <f aca="false">IF(AN31="","",IF(MAX(AF31,AG31)&lt;=Rota_Nota,"SIM","—"))</f>
        <v/>
      </c>
      <c r="AR31" s="15" t="str">
        <f aca="false">IF(AN31="","",IF(Z31&lt;=Rota_Nota,"SIM","—"))</f>
        <v/>
      </c>
      <c r="AS31" s="15" t="str">
        <f aca="false">IF(AN31="","",IF(AP31="SIM",IF(AJ31&gt;=Corte,"Projeto estratégico","Evitar"),AO31))</f>
        <v/>
      </c>
      <c r="AT31" s="15" t="str">
        <f aca="false">IF(AN31="","",IF(OR(AND(AJ31&gt;=Fr_Min,AJ31&lt;=Fr_Max),AND(AM31&gt;=Fr_Min,AM31&lt;=Fr_Max)),"Revisar",""))</f>
        <v/>
      </c>
      <c r="AU31" s="15" t="str">
        <f aca="false">IF(BE31="","",COUNTIF($BE$6:$BE$105,"&gt;"&amp;BE31)+1)</f>
        <v/>
      </c>
      <c r="AV31" s="16"/>
      <c r="AW31" s="15" t="str">
        <f aca="false">IF(B31="","",IF(AV31&lt;&gt;"",AV31,'MEUS PROCESSOS'!M31))</f>
        <v/>
      </c>
      <c r="AX31" s="23"/>
      <c r="AY31" s="31" t="str">
        <f aca="false">IF(AW31="","",IF(AX31&lt;&gt;"",AX31,IF(AW31="S",Red_S,IF(AW31="P",Red_P,IF(AW31="A",Red_A,IF(AW31="IA",Red_IA,""))))))</f>
        <v/>
      </c>
      <c r="AZ31" s="27" t="str">
        <f aca="false">IF(OR(V31="",AY31=""),"",(T31+U31)*AY31)</f>
        <v/>
      </c>
      <c r="BA31" s="27" t="str">
        <f aca="false">IF(OR(V31="",AY31=""),"",(R31+S31)*AY31)</f>
        <v/>
      </c>
      <c r="BB31" s="27" t="str">
        <f aca="false">IF(AZ31="","",AZ31+BA31)</f>
        <v/>
      </c>
      <c r="BC31" s="27" t="str">
        <f aca="false">IF(OR(P31="",AY31=""),"",(P31*(1+N(J31))+N(M31))*12*AY31)</f>
        <v/>
      </c>
      <c r="BD31" s="18" t="str">
        <f aca="false">IF(B31="","",IF(AND(AW31="E",AX31=""),"Eliminar: informe quanto do esforço atual deixa de existir (0% a 100%). Não há percentual inicial sugerido.",IF(AND(AX31="",AY31&lt;&gt;""),"Redução pela faixa inicial para simulação","")))</f>
        <v/>
      </c>
      <c r="BE31" s="19" t="str">
        <f aca="false">IF(AND(AN31&lt;&gt;"",D31=1),AN31+(1000-A31)/1000000,"")</f>
        <v/>
      </c>
    </row>
    <row r="32" customFormat="false" ht="15" hidden="false" customHeight="false" outlineLevel="0" collapsed="false">
      <c r="A32" s="15" t="n">
        <v>27</v>
      </c>
      <c r="B32" s="18" t="str">
        <f aca="false">IF('MEUS PROCESSOS'!J32="","",'MEUS PROCESSOS'!J32)</f>
        <v/>
      </c>
      <c r="C32" s="15" t="str">
        <f aca="false">IF('MEUS PROCESSOS'!K32="","",'MEUS PROCESSOS'!K32)</f>
        <v/>
      </c>
      <c r="D32" s="19" t="n">
        <f aca="false">'MEUS PROCESSOS'!Q32</f>
        <v>0</v>
      </c>
      <c r="E32" s="16"/>
      <c r="F32" s="16"/>
      <c r="G32" s="16"/>
      <c r="H32" s="16"/>
      <c r="I32" s="22"/>
      <c r="J32" s="23"/>
      <c r="K32" s="16"/>
      <c r="L32" s="24"/>
      <c r="M32" s="16"/>
      <c r="N32" s="24"/>
      <c r="O32" s="25" t="str">
        <f aca="false">IF(OR(E32="",F32=""),"",F32*IF(E32="Diária",Mult_Diaria,IF(E32="Semanal",Mult_Semanal,1)))</f>
        <v/>
      </c>
      <c r="P32" s="25" t="str">
        <f aca="false">IF(OR(O32="",G32="",H32=""),"",O32*G32/60*H32)</f>
        <v/>
      </c>
      <c r="Q32" s="26" t="str">
        <f aca="false">IF(I32&lt;&gt;"",I32,IF(Custo_Hora_Padrao&lt;&gt;"",Custo_Hora_Padrao,""))</f>
        <v/>
      </c>
      <c r="R32" s="27" t="str">
        <f aca="false">IF(OR(P32="",Q32=""),"",P32*Q32*12)</f>
        <v/>
      </c>
      <c r="S32" s="27" t="str">
        <f aca="false">IF(R32="","",R32*N(J32))</f>
        <v/>
      </c>
      <c r="T32" s="27" t="str">
        <f aca="false">IF(R32="","",N(K32)*N(L32)*12)</f>
        <v/>
      </c>
      <c r="U32" s="27" t="str">
        <f aca="false">IF(R32="","",(N(M32)*Q32*HE_Fator+N(N32))*12)</f>
        <v/>
      </c>
      <c r="V32" s="28" t="str">
        <f aca="false">IF(R32="","",R32+S32+T32+U32)</f>
        <v/>
      </c>
      <c r="W32" s="15" t="str">
        <f aca="false">IF(V32="","",IF(V32&lt;=Faixa_1,1,IF(V32&lt;=Faixa_2,2,IF(V32&lt;=Faixa_3,3,IF(V32&lt;=Faixa_4,4,5)))))</f>
        <v/>
      </c>
      <c r="X32" s="16"/>
      <c r="Y32" s="16"/>
      <c r="Z32" s="16"/>
      <c r="AA32" s="16"/>
      <c r="AB32" s="16"/>
      <c r="AC32" s="16"/>
      <c r="AD32" s="16"/>
      <c r="AE32" s="16"/>
      <c r="AF32" s="15" t="str">
        <f aca="false">IF(AB32&lt;&gt;"",AB32,IF('MEUS PROCESSOS'!N32="Alto",Sug_Alto,IF('MEUS PROCESSOS'!N32="Médio",Sug_Medio,IF('MEUS PROCESSOS'!N32="Baixo",Sug_Baixo,""))))</f>
        <v/>
      </c>
      <c r="AG32" s="15" t="str">
        <f aca="false">IF(AC32&lt;&gt;"",AC32,IF('MEUS PROCESSOS'!O32="Alto",Sug_Alto,IF('MEUS PROCESSOS'!O32="Médio",Sug_Medio,IF('MEUS PROCESSOS'!O32="Baixo",Sug_Baixo,""))))</f>
        <v/>
      </c>
      <c r="AH32" s="15" t="str">
        <f aca="false">IF(B32="","",IF(AND(AB32&lt;&gt;"",AC32&lt;&gt;""),"Avaliado pela empresa",IF(AND(AB32="",AC32="",'MEUS PROCESSOS'!N32&lt;&gt;""),"Sugestão da biblioteca",IF('MEUS PROCESSOS'!N32&lt;&gt;"","Parcialmente sugerido",IF(AND(AB32="",AC32=""),"","Avaliado pela empresa")))))</f>
        <v/>
      </c>
      <c r="AI32" s="18" t="str">
        <f aca="false">IF(B32="","",IF(AND((COUNTBLANK(X32:AA32)+COUNTBLANK(AD32:AE32)+(AF32="")*1+(AG32="")*1)=0,W32&lt;&gt;""),"Completo","Incompleto — faltam "&amp;IF((COUNTBLANK(X32:AA32)+COUNTBLANK(AD32:AE32)+(AF32="")*1+(AG32="")*1)&gt;0,(COUNTBLANK(X32:AA32)+COUNTBLANK(AD32:AE32)+(AF32="")*1+(AG32="")*1)&amp;IF((COUNTBLANK(X32:AA32)+COUNTBLANK(AD32:AE32)+(AF32="")*1+(AG32="")*1)=1," avaliação"," avaliações"),"")&amp;IF(AND((COUNTBLANK(X32:AA32)+COUNTBLANK(AD32:AE32)+(AF32="")*1+(AG32="")*1)&gt;0,W32=""), " e ","")&amp;IF(W32="","os dados de custo","")))</f>
        <v/>
      </c>
      <c r="AJ32" s="29" t="str">
        <f aca="false">IF($AI32&lt;&gt;"Completo","",W_Custo*(W32-1)/4+W_Imp*(X32-1)/4)</f>
        <v/>
      </c>
      <c r="AK32" s="29" t="str">
        <f aca="false">IF($AI32&lt;&gt;"Completo","",W_Pot*(MAX(AF32,AG32)-1)/4+W_Rep*(Y32-1)/4+W_Pad*(Z32-1)/4+W_Vol*(AA32-1)/4)</f>
        <v/>
      </c>
      <c r="AL32" s="29" t="str">
        <f aca="false">IF($AI32&lt;&gt;"Completo","",(1-F_Pen*(AE32-1)/4)*(1-F_Pen*(AD32-1)/4))</f>
        <v/>
      </c>
      <c r="AM32" s="29" t="str">
        <f aca="false">IF($AI32&lt;&gt;"Completo","",SQRT(AK32*AL32))</f>
        <v/>
      </c>
      <c r="AN32" s="30" t="str">
        <f aca="false">IF($AI32&lt;&gt;"Completo","",100*AJ32^Exp_V*AM32^Exp_Vb)</f>
        <v/>
      </c>
      <c r="AO32" s="15" t="str">
        <f aca="false">IF(AN32="","",IF(AJ32&gt;=Corte,IF(AM32&gt;=Corte,"Fazer primeiro","Projeto estratégico"),IF(AM32&gt;=Corte,"Quick win","Evitar")))</f>
        <v/>
      </c>
      <c r="AP32" s="15" t="str">
        <f aca="false">IF(AN32="","",IF(OR(AD32&gt;=Trava_Nota,AE32&gt;=Trava_Nota),"SIM","—"))</f>
        <v/>
      </c>
      <c r="AQ32" s="15" t="str">
        <f aca="false">IF(AN32="","",IF(MAX(AF32,AG32)&lt;=Rota_Nota,"SIM","—"))</f>
        <v/>
      </c>
      <c r="AR32" s="15" t="str">
        <f aca="false">IF(AN32="","",IF(Z32&lt;=Rota_Nota,"SIM","—"))</f>
        <v/>
      </c>
      <c r="AS32" s="15" t="str">
        <f aca="false">IF(AN32="","",IF(AP32="SIM",IF(AJ32&gt;=Corte,"Projeto estratégico","Evitar"),AO32))</f>
        <v/>
      </c>
      <c r="AT32" s="15" t="str">
        <f aca="false">IF(AN32="","",IF(OR(AND(AJ32&gt;=Fr_Min,AJ32&lt;=Fr_Max),AND(AM32&gt;=Fr_Min,AM32&lt;=Fr_Max)),"Revisar",""))</f>
        <v/>
      </c>
      <c r="AU32" s="15" t="str">
        <f aca="false">IF(BE32="","",COUNTIF($BE$6:$BE$105,"&gt;"&amp;BE32)+1)</f>
        <v/>
      </c>
      <c r="AV32" s="16"/>
      <c r="AW32" s="15" t="str">
        <f aca="false">IF(B32="","",IF(AV32&lt;&gt;"",AV32,'MEUS PROCESSOS'!M32))</f>
        <v/>
      </c>
      <c r="AX32" s="23"/>
      <c r="AY32" s="31" t="str">
        <f aca="false">IF(AW32="","",IF(AX32&lt;&gt;"",AX32,IF(AW32="S",Red_S,IF(AW32="P",Red_P,IF(AW32="A",Red_A,IF(AW32="IA",Red_IA,""))))))</f>
        <v/>
      </c>
      <c r="AZ32" s="27" t="str">
        <f aca="false">IF(OR(V32="",AY32=""),"",(T32+U32)*AY32)</f>
        <v/>
      </c>
      <c r="BA32" s="27" t="str">
        <f aca="false">IF(OR(V32="",AY32=""),"",(R32+S32)*AY32)</f>
        <v/>
      </c>
      <c r="BB32" s="27" t="str">
        <f aca="false">IF(AZ32="","",AZ32+BA32)</f>
        <v/>
      </c>
      <c r="BC32" s="27" t="str">
        <f aca="false">IF(OR(P32="",AY32=""),"",(P32*(1+N(J32))+N(M32))*12*AY32)</f>
        <v/>
      </c>
      <c r="BD32" s="18" t="str">
        <f aca="false">IF(B32="","",IF(AND(AW32="E",AX32=""),"Eliminar: informe quanto do esforço atual deixa de existir (0% a 100%). Não há percentual inicial sugerido.",IF(AND(AX32="",AY32&lt;&gt;""),"Redução pela faixa inicial para simulação","")))</f>
        <v/>
      </c>
      <c r="BE32" s="19" t="str">
        <f aca="false">IF(AND(AN32&lt;&gt;"",D32=1),AN32+(1000-A32)/1000000,"")</f>
        <v/>
      </c>
    </row>
    <row r="33" customFormat="false" ht="15" hidden="false" customHeight="false" outlineLevel="0" collapsed="false">
      <c r="A33" s="15" t="n">
        <v>28</v>
      </c>
      <c r="B33" s="18" t="str">
        <f aca="false">IF('MEUS PROCESSOS'!J33="","",'MEUS PROCESSOS'!J33)</f>
        <v/>
      </c>
      <c r="C33" s="15" t="str">
        <f aca="false">IF('MEUS PROCESSOS'!K33="","",'MEUS PROCESSOS'!K33)</f>
        <v/>
      </c>
      <c r="D33" s="19" t="n">
        <f aca="false">'MEUS PROCESSOS'!Q33</f>
        <v>0</v>
      </c>
      <c r="E33" s="16"/>
      <c r="F33" s="16"/>
      <c r="G33" s="16"/>
      <c r="H33" s="16"/>
      <c r="I33" s="22"/>
      <c r="J33" s="23"/>
      <c r="K33" s="16"/>
      <c r="L33" s="24"/>
      <c r="M33" s="16"/>
      <c r="N33" s="24"/>
      <c r="O33" s="25" t="str">
        <f aca="false">IF(OR(E33="",F33=""),"",F33*IF(E33="Diária",Mult_Diaria,IF(E33="Semanal",Mult_Semanal,1)))</f>
        <v/>
      </c>
      <c r="P33" s="25" t="str">
        <f aca="false">IF(OR(O33="",G33="",H33=""),"",O33*G33/60*H33)</f>
        <v/>
      </c>
      <c r="Q33" s="26" t="str">
        <f aca="false">IF(I33&lt;&gt;"",I33,IF(Custo_Hora_Padrao&lt;&gt;"",Custo_Hora_Padrao,""))</f>
        <v/>
      </c>
      <c r="R33" s="27" t="str">
        <f aca="false">IF(OR(P33="",Q33=""),"",P33*Q33*12)</f>
        <v/>
      </c>
      <c r="S33" s="27" t="str">
        <f aca="false">IF(R33="","",R33*N(J33))</f>
        <v/>
      </c>
      <c r="T33" s="27" t="str">
        <f aca="false">IF(R33="","",N(K33)*N(L33)*12)</f>
        <v/>
      </c>
      <c r="U33" s="27" t="str">
        <f aca="false">IF(R33="","",(N(M33)*Q33*HE_Fator+N(N33))*12)</f>
        <v/>
      </c>
      <c r="V33" s="28" t="str">
        <f aca="false">IF(R33="","",R33+S33+T33+U33)</f>
        <v/>
      </c>
      <c r="W33" s="15" t="str">
        <f aca="false">IF(V33="","",IF(V33&lt;=Faixa_1,1,IF(V33&lt;=Faixa_2,2,IF(V33&lt;=Faixa_3,3,IF(V33&lt;=Faixa_4,4,5)))))</f>
        <v/>
      </c>
      <c r="X33" s="16"/>
      <c r="Y33" s="16"/>
      <c r="Z33" s="16"/>
      <c r="AA33" s="16"/>
      <c r="AB33" s="16"/>
      <c r="AC33" s="16"/>
      <c r="AD33" s="16"/>
      <c r="AE33" s="16"/>
      <c r="AF33" s="15" t="str">
        <f aca="false">IF(AB33&lt;&gt;"",AB33,IF('MEUS PROCESSOS'!N33="Alto",Sug_Alto,IF('MEUS PROCESSOS'!N33="Médio",Sug_Medio,IF('MEUS PROCESSOS'!N33="Baixo",Sug_Baixo,""))))</f>
        <v/>
      </c>
      <c r="AG33" s="15" t="str">
        <f aca="false">IF(AC33&lt;&gt;"",AC33,IF('MEUS PROCESSOS'!O33="Alto",Sug_Alto,IF('MEUS PROCESSOS'!O33="Médio",Sug_Medio,IF('MEUS PROCESSOS'!O33="Baixo",Sug_Baixo,""))))</f>
        <v/>
      </c>
      <c r="AH33" s="15" t="str">
        <f aca="false">IF(B33="","",IF(AND(AB33&lt;&gt;"",AC33&lt;&gt;""),"Avaliado pela empresa",IF(AND(AB33="",AC33="",'MEUS PROCESSOS'!N33&lt;&gt;""),"Sugestão da biblioteca",IF('MEUS PROCESSOS'!N33&lt;&gt;"","Parcialmente sugerido",IF(AND(AB33="",AC33=""),"","Avaliado pela empresa")))))</f>
        <v/>
      </c>
      <c r="AI33" s="18" t="str">
        <f aca="false">IF(B33="","",IF(AND((COUNTBLANK(X33:AA33)+COUNTBLANK(AD33:AE33)+(AF33="")*1+(AG33="")*1)=0,W33&lt;&gt;""),"Completo","Incompleto — faltam "&amp;IF((COUNTBLANK(X33:AA33)+COUNTBLANK(AD33:AE33)+(AF33="")*1+(AG33="")*1)&gt;0,(COUNTBLANK(X33:AA33)+COUNTBLANK(AD33:AE33)+(AF33="")*1+(AG33="")*1)&amp;IF((COUNTBLANK(X33:AA33)+COUNTBLANK(AD33:AE33)+(AF33="")*1+(AG33="")*1)=1," avaliação"," avaliações"),"")&amp;IF(AND((COUNTBLANK(X33:AA33)+COUNTBLANK(AD33:AE33)+(AF33="")*1+(AG33="")*1)&gt;0,W33=""), " e ","")&amp;IF(W33="","os dados de custo","")))</f>
        <v/>
      </c>
      <c r="AJ33" s="29" t="str">
        <f aca="false">IF($AI33&lt;&gt;"Completo","",W_Custo*(W33-1)/4+W_Imp*(X33-1)/4)</f>
        <v/>
      </c>
      <c r="AK33" s="29" t="str">
        <f aca="false">IF($AI33&lt;&gt;"Completo","",W_Pot*(MAX(AF33,AG33)-1)/4+W_Rep*(Y33-1)/4+W_Pad*(Z33-1)/4+W_Vol*(AA33-1)/4)</f>
        <v/>
      </c>
      <c r="AL33" s="29" t="str">
        <f aca="false">IF($AI33&lt;&gt;"Completo","",(1-F_Pen*(AE33-1)/4)*(1-F_Pen*(AD33-1)/4))</f>
        <v/>
      </c>
      <c r="AM33" s="29" t="str">
        <f aca="false">IF($AI33&lt;&gt;"Completo","",SQRT(AK33*AL33))</f>
        <v/>
      </c>
      <c r="AN33" s="30" t="str">
        <f aca="false">IF($AI33&lt;&gt;"Completo","",100*AJ33^Exp_V*AM33^Exp_Vb)</f>
        <v/>
      </c>
      <c r="AO33" s="15" t="str">
        <f aca="false">IF(AN33="","",IF(AJ33&gt;=Corte,IF(AM33&gt;=Corte,"Fazer primeiro","Projeto estratégico"),IF(AM33&gt;=Corte,"Quick win","Evitar")))</f>
        <v/>
      </c>
      <c r="AP33" s="15" t="str">
        <f aca="false">IF(AN33="","",IF(OR(AD33&gt;=Trava_Nota,AE33&gt;=Trava_Nota),"SIM","—"))</f>
        <v/>
      </c>
      <c r="AQ33" s="15" t="str">
        <f aca="false">IF(AN33="","",IF(MAX(AF33,AG33)&lt;=Rota_Nota,"SIM","—"))</f>
        <v/>
      </c>
      <c r="AR33" s="15" t="str">
        <f aca="false">IF(AN33="","",IF(Z33&lt;=Rota_Nota,"SIM","—"))</f>
        <v/>
      </c>
      <c r="AS33" s="15" t="str">
        <f aca="false">IF(AN33="","",IF(AP33="SIM",IF(AJ33&gt;=Corte,"Projeto estratégico","Evitar"),AO33))</f>
        <v/>
      </c>
      <c r="AT33" s="15" t="str">
        <f aca="false">IF(AN33="","",IF(OR(AND(AJ33&gt;=Fr_Min,AJ33&lt;=Fr_Max),AND(AM33&gt;=Fr_Min,AM33&lt;=Fr_Max)),"Revisar",""))</f>
        <v/>
      </c>
      <c r="AU33" s="15" t="str">
        <f aca="false">IF(BE33="","",COUNTIF($BE$6:$BE$105,"&gt;"&amp;BE33)+1)</f>
        <v/>
      </c>
      <c r="AV33" s="16"/>
      <c r="AW33" s="15" t="str">
        <f aca="false">IF(B33="","",IF(AV33&lt;&gt;"",AV33,'MEUS PROCESSOS'!M33))</f>
        <v/>
      </c>
      <c r="AX33" s="23"/>
      <c r="AY33" s="31" t="str">
        <f aca="false">IF(AW33="","",IF(AX33&lt;&gt;"",AX33,IF(AW33="S",Red_S,IF(AW33="P",Red_P,IF(AW33="A",Red_A,IF(AW33="IA",Red_IA,""))))))</f>
        <v/>
      </c>
      <c r="AZ33" s="27" t="str">
        <f aca="false">IF(OR(V33="",AY33=""),"",(T33+U33)*AY33)</f>
        <v/>
      </c>
      <c r="BA33" s="27" t="str">
        <f aca="false">IF(OR(V33="",AY33=""),"",(R33+S33)*AY33)</f>
        <v/>
      </c>
      <c r="BB33" s="27" t="str">
        <f aca="false">IF(AZ33="","",AZ33+BA33)</f>
        <v/>
      </c>
      <c r="BC33" s="27" t="str">
        <f aca="false">IF(OR(P33="",AY33=""),"",(P33*(1+N(J33))+N(M33))*12*AY33)</f>
        <v/>
      </c>
      <c r="BD33" s="18" t="str">
        <f aca="false">IF(B33="","",IF(AND(AW33="E",AX33=""),"Eliminar: informe quanto do esforço atual deixa de existir (0% a 100%). Não há percentual inicial sugerido.",IF(AND(AX33="",AY33&lt;&gt;""),"Redução pela faixa inicial para simulação","")))</f>
        <v/>
      </c>
      <c r="BE33" s="19" t="str">
        <f aca="false">IF(AND(AN33&lt;&gt;"",D33=1),AN33+(1000-A33)/1000000,"")</f>
        <v/>
      </c>
    </row>
    <row r="34" customFormat="false" ht="15" hidden="false" customHeight="false" outlineLevel="0" collapsed="false">
      <c r="A34" s="15" t="n">
        <v>29</v>
      </c>
      <c r="B34" s="18" t="str">
        <f aca="false">IF('MEUS PROCESSOS'!J34="","",'MEUS PROCESSOS'!J34)</f>
        <v/>
      </c>
      <c r="C34" s="15" t="str">
        <f aca="false">IF('MEUS PROCESSOS'!K34="","",'MEUS PROCESSOS'!K34)</f>
        <v/>
      </c>
      <c r="D34" s="19" t="n">
        <f aca="false">'MEUS PROCESSOS'!Q34</f>
        <v>0</v>
      </c>
      <c r="E34" s="16"/>
      <c r="F34" s="16"/>
      <c r="G34" s="16"/>
      <c r="H34" s="16"/>
      <c r="I34" s="22"/>
      <c r="J34" s="23"/>
      <c r="K34" s="16"/>
      <c r="L34" s="24"/>
      <c r="M34" s="16"/>
      <c r="N34" s="24"/>
      <c r="O34" s="25" t="str">
        <f aca="false">IF(OR(E34="",F34=""),"",F34*IF(E34="Diária",Mult_Diaria,IF(E34="Semanal",Mult_Semanal,1)))</f>
        <v/>
      </c>
      <c r="P34" s="25" t="str">
        <f aca="false">IF(OR(O34="",G34="",H34=""),"",O34*G34/60*H34)</f>
        <v/>
      </c>
      <c r="Q34" s="26" t="str">
        <f aca="false">IF(I34&lt;&gt;"",I34,IF(Custo_Hora_Padrao&lt;&gt;"",Custo_Hora_Padrao,""))</f>
        <v/>
      </c>
      <c r="R34" s="27" t="str">
        <f aca="false">IF(OR(P34="",Q34=""),"",P34*Q34*12)</f>
        <v/>
      </c>
      <c r="S34" s="27" t="str">
        <f aca="false">IF(R34="","",R34*N(J34))</f>
        <v/>
      </c>
      <c r="T34" s="27" t="str">
        <f aca="false">IF(R34="","",N(K34)*N(L34)*12)</f>
        <v/>
      </c>
      <c r="U34" s="27" t="str">
        <f aca="false">IF(R34="","",(N(M34)*Q34*HE_Fator+N(N34))*12)</f>
        <v/>
      </c>
      <c r="V34" s="28" t="str">
        <f aca="false">IF(R34="","",R34+S34+T34+U34)</f>
        <v/>
      </c>
      <c r="W34" s="15" t="str">
        <f aca="false">IF(V34="","",IF(V34&lt;=Faixa_1,1,IF(V34&lt;=Faixa_2,2,IF(V34&lt;=Faixa_3,3,IF(V34&lt;=Faixa_4,4,5)))))</f>
        <v/>
      </c>
      <c r="X34" s="16"/>
      <c r="Y34" s="16"/>
      <c r="Z34" s="16"/>
      <c r="AA34" s="16"/>
      <c r="AB34" s="16"/>
      <c r="AC34" s="16"/>
      <c r="AD34" s="16"/>
      <c r="AE34" s="16"/>
      <c r="AF34" s="15" t="str">
        <f aca="false">IF(AB34&lt;&gt;"",AB34,IF('MEUS PROCESSOS'!N34="Alto",Sug_Alto,IF('MEUS PROCESSOS'!N34="Médio",Sug_Medio,IF('MEUS PROCESSOS'!N34="Baixo",Sug_Baixo,""))))</f>
        <v/>
      </c>
      <c r="AG34" s="15" t="str">
        <f aca="false">IF(AC34&lt;&gt;"",AC34,IF('MEUS PROCESSOS'!O34="Alto",Sug_Alto,IF('MEUS PROCESSOS'!O34="Médio",Sug_Medio,IF('MEUS PROCESSOS'!O34="Baixo",Sug_Baixo,""))))</f>
        <v/>
      </c>
      <c r="AH34" s="15" t="str">
        <f aca="false">IF(B34="","",IF(AND(AB34&lt;&gt;"",AC34&lt;&gt;""),"Avaliado pela empresa",IF(AND(AB34="",AC34="",'MEUS PROCESSOS'!N34&lt;&gt;""),"Sugestão da biblioteca",IF('MEUS PROCESSOS'!N34&lt;&gt;"","Parcialmente sugerido",IF(AND(AB34="",AC34=""),"","Avaliado pela empresa")))))</f>
        <v/>
      </c>
      <c r="AI34" s="18" t="str">
        <f aca="false">IF(B34="","",IF(AND((COUNTBLANK(X34:AA34)+COUNTBLANK(AD34:AE34)+(AF34="")*1+(AG34="")*1)=0,W34&lt;&gt;""),"Completo","Incompleto — faltam "&amp;IF((COUNTBLANK(X34:AA34)+COUNTBLANK(AD34:AE34)+(AF34="")*1+(AG34="")*1)&gt;0,(COUNTBLANK(X34:AA34)+COUNTBLANK(AD34:AE34)+(AF34="")*1+(AG34="")*1)&amp;IF((COUNTBLANK(X34:AA34)+COUNTBLANK(AD34:AE34)+(AF34="")*1+(AG34="")*1)=1," avaliação"," avaliações"),"")&amp;IF(AND((COUNTBLANK(X34:AA34)+COUNTBLANK(AD34:AE34)+(AF34="")*1+(AG34="")*1)&gt;0,W34=""), " e ","")&amp;IF(W34="","os dados de custo","")))</f>
        <v/>
      </c>
      <c r="AJ34" s="29" t="str">
        <f aca="false">IF($AI34&lt;&gt;"Completo","",W_Custo*(W34-1)/4+W_Imp*(X34-1)/4)</f>
        <v/>
      </c>
      <c r="AK34" s="29" t="str">
        <f aca="false">IF($AI34&lt;&gt;"Completo","",W_Pot*(MAX(AF34,AG34)-1)/4+W_Rep*(Y34-1)/4+W_Pad*(Z34-1)/4+W_Vol*(AA34-1)/4)</f>
        <v/>
      </c>
      <c r="AL34" s="29" t="str">
        <f aca="false">IF($AI34&lt;&gt;"Completo","",(1-F_Pen*(AE34-1)/4)*(1-F_Pen*(AD34-1)/4))</f>
        <v/>
      </c>
      <c r="AM34" s="29" t="str">
        <f aca="false">IF($AI34&lt;&gt;"Completo","",SQRT(AK34*AL34))</f>
        <v/>
      </c>
      <c r="AN34" s="30" t="str">
        <f aca="false">IF($AI34&lt;&gt;"Completo","",100*AJ34^Exp_V*AM34^Exp_Vb)</f>
        <v/>
      </c>
      <c r="AO34" s="15" t="str">
        <f aca="false">IF(AN34="","",IF(AJ34&gt;=Corte,IF(AM34&gt;=Corte,"Fazer primeiro","Projeto estratégico"),IF(AM34&gt;=Corte,"Quick win","Evitar")))</f>
        <v/>
      </c>
      <c r="AP34" s="15" t="str">
        <f aca="false">IF(AN34="","",IF(OR(AD34&gt;=Trava_Nota,AE34&gt;=Trava_Nota),"SIM","—"))</f>
        <v/>
      </c>
      <c r="AQ34" s="15" t="str">
        <f aca="false">IF(AN34="","",IF(MAX(AF34,AG34)&lt;=Rota_Nota,"SIM","—"))</f>
        <v/>
      </c>
      <c r="AR34" s="15" t="str">
        <f aca="false">IF(AN34="","",IF(Z34&lt;=Rota_Nota,"SIM","—"))</f>
        <v/>
      </c>
      <c r="AS34" s="15" t="str">
        <f aca="false">IF(AN34="","",IF(AP34="SIM",IF(AJ34&gt;=Corte,"Projeto estratégico","Evitar"),AO34))</f>
        <v/>
      </c>
      <c r="AT34" s="15" t="str">
        <f aca="false">IF(AN34="","",IF(OR(AND(AJ34&gt;=Fr_Min,AJ34&lt;=Fr_Max),AND(AM34&gt;=Fr_Min,AM34&lt;=Fr_Max)),"Revisar",""))</f>
        <v/>
      </c>
      <c r="AU34" s="15" t="str">
        <f aca="false">IF(BE34="","",COUNTIF($BE$6:$BE$105,"&gt;"&amp;BE34)+1)</f>
        <v/>
      </c>
      <c r="AV34" s="16"/>
      <c r="AW34" s="15" t="str">
        <f aca="false">IF(B34="","",IF(AV34&lt;&gt;"",AV34,'MEUS PROCESSOS'!M34))</f>
        <v/>
      </c>
      <c r="AX34" s="23"/>
      <c r="AY34" s="31" t="str">
        <f aca="false">IF(AW34="","",IF(AX34&lt;&gt;"",AX34,IF(AW34="S",Red_S,IF(AW34="P",Red_P,IF(AW34="A",Red_A,IF(AW34="IA",Red_IA,""))))))</f>
        <v/>
      </c>
      <c r="AZ34" s="27" t="str">
        <f aca="false">IF(OR(V34="",AY34=""),"",(T34+U34)*AY34)</f>
        <v/>
      </c>
      <c r="BA34" s="27" t="str">
        <f aca="false">IF(OR(V34="",AY34=""),"",(R34+S34)*AY34)</f>
        <v/>
      </c>
      <c r="BB34" s="27" t="str">
        <f aca="false">IF(AZ34="","",AZ34+BA34)</f>
        <v/>
      </c>
      <c r="BC34" s="27" t="str">
        <f aca="false">IF(OR(P34="",AY34=""),"",(P34*(1+N(J34))+N(M34))*12*AY34)</f>
        <v/>
      </c>
      <c r="BD34" s="18" t="str">
        <f aca="false">IF(B34="","",IF(AND(AW34="E",AX34=""),"Eliminar: informe quanto do esforço atual deixa de existir (0% a 100%). Não há percentual inicial sugerido.",IF(AND(AX34="",AY34&lt;&gt;""),"Redução pela faixa inicial para simulação","")))</f>
        <v/>
      </c>
      <c r="BE34" s="19" t="str">
        <f aca="false">IF(AND(AN34&lt;&gt;"",D34=1),AN34+(1000-A34)/1000000,"")</f>
        <v/>
      </c>
    </row>
    <row r="35" customFormat="false" ht="15" hidden="false" customHeight="false" outlineLevel="0" collapsed="false">
      <c r="A35" s="15" t="n">
        <v>30</v>
      </c>
      <c r="B35" s="18" t="str">
        <f aca="false">IF('MEUS PROCESSOS'!J35="","",'MEUS PROCESSOS'!J35)</f>
        <v/>
      </c>
      <c r="C35" s="15" t="str">
        <f aca="false">IF('MEUS PROCESSOS'!K35="","",'MEUS PROCESSOS'!K35)</f>
        <v/>
      </c>
      <c r="D35" s="19" t="n">
        <f aca="false">'MEUS PROCESSOS'!Q35</f>
        <v>0</v>
      </c>
      <c r="E35" s="16"/>
      <c r="F35" s="16"/>
      <c r="G35" s="16"/>
      <c r="H35" s="16"/>
      <c r="I35" s="22"/>
      <c r="J35" s="23"/>
      <c r="K35" s="16"/>
      <c r="L35" s="24"/>
      <c r="M35" s="16"/>
      <c r="N35" s="24"/>
      <c r="O35" s="25" t="str">
        <f aca="false">IF(OR(E35="",F35=""),"",F35*IF(E35="Diária",Mult_Diaria,IF(E35="Semanal",Mult_Semanal,1)))</f>
        <v/>
      </c>
      <c r="P35" s="25" t="str">
        <f aca="false">IF(OR(O35="",G35="",H35=""),"",O35*G35/60*H35)</f>
        <v/>
      </c>
      <c r="Q35" s="26" t="str">
        <f aca="false">IF(I35&lt;&gt;"",I35,IF(Custo_Hora_Padrao&lt;&gt;"",Custo_Hora_Padrao,""))</f>
        <v/>
      </c>
      <c r="R35" s="27" t="str">
        <f aca="false">IF(OR(P35="",Q35=""),"",P35*Q35*12)</f>
        <v/>
      </c>
      <c r="S35" s="27" t="str">
        <f aca="false">IF(R35="","",R35*N(J35))</f>
        <v/>
      </c>
      <c r="T35" s="27" t="str">
        <f aca="false">IF(R35="","",N(K35)*N(L35)*12)</f>
        <v/>
      </c>
      <c r="U35" s="27" t="str">
        <f aca="false">IF(R35="","",(N(M35)*Q35*HE_Fator+N(N35))*12)</f>
        <v/>
      </c>
      <c r="V35" s="28" t="str">
        <f aca="false">IF(R35="","",R35+S35+T35+U35)</f>
        <v/>
      </c>
      <c r="W35" s="15" t="str">
        <f aca="false">IF(V35="","",IF(V35&lt;=Faixa_1,1,IF(V35&lt;=Faixa_2,2,IF(V35&lt;=Faixa_3,3,IF(V35&lt;=Faixa_4,4,5)))))</f>
        <v/>
      </c>
      <c r="X35" s="16"/>
      <c r="Y35" s="16"/>
      <c r="Z35" s="16"/>
      <c r="AA35" s="16"/>
      <c r="AB35" s="16"/>
      <c r="AC35" s="16"/>
      <c r="AD35" s="16"/>
      <c r="AE35" s="16"/>
      <c r="AF35" s="15" t="str">
        <f aca="false">IF(AB35&lt;&gt;"",AB35,IF('MEUS PROCESSOS'!N35="Alto",Sug_Alto,IF('MEUS PROCESSOS'!N35="Médio",Sug_Medio,IF('MEUS PROCESSOS'!N35="Baixo",Sug_Baixo,""))))</f>
        <v/>
      </c>
      <c r="AG35" s="15" t="str">
        <f aca="false">IF(AC35&lt;&gt;"",AC35,IF('MEUS PROCESSOS'!O35="Alto",Sug_Alto,IF('MEUS PROCESSOS'!O35="Médio",Sug_Medio,IF('MEUS PROCESSOS'!O35="Baixo",Sug_Baixo,""))))</f>
        <v/>
      </c>
      <c r="AH35" s="15" t="str">
        <f aca="false">IF(B35="","",IF(AND(AB35&lt;&gt;"",AC35&lt;&gt;""),"Avaliado pela empresa",IF(AND(AB35="",AC35="",'MEUS PROCESSOS'!N35&lt;&gt;""),"Sugestão da biblioteca",IF('MEUS PROCESSOS'!N35&lt;&gt;"","Parcialmente sugerido",IF(AND(AB35="",AC35=""),"","Avaliado pela empresa")))))</f>
        <v/>
      </c>
      <c r="AI35" s="18" t="str">
        <f aca="false">IF(B35="","",IF(AND((COUNTBLANK(X35:AA35)+COUNTBLANK(AD35:AE35)+(AF35="")*1+(AG35="")*1)=0,W35&lt;&gt;""),"Completo","Incompleto — faltam "&amp;IF((COUNTBLANK(X35:AA35)+COUNTBLANK(AD35:AE35)+(AF35="")*1+(AG35="")*1)&gt;0,(COUNTBLANK(X35:AA35)+COUNTBLANK(AD35:AE35)+(AF35="")*1+(AG35="")*1)&amp;IF((COUNTBLANK(X35:AA35)+COUNTBLANK(AD35:AE35)+(AF35="")*1+(AG35="")*1)=1," avaliação"," avaliações"),"")&amp;IF(AND((COUNTBLANK(X35:AA35)+COUNTBLANK(AD35:AE35)+(AF35="")*1+(AG35="")*1)&gt;0,W35=""), " e ","")&amp;IF(W35="","os dados de custo","")))</f>
        <v/>
      </c>
      <c r="AJ35" s="29" t="str">
        <f aca="false">IF($AI35&lt;&gt;"Completo","",W_Custo*(W35-1)/4+W_Imp*(X35-1)/4)</f>
        <v/>
      </c>
      <c r="AK35" s="29" t="str">
        <f aca="false">IF($AI35&lt;&gt;"Completo","",W_Pot*(MAX(AF35,AG35)-1)/4+W_Rep*(Y35-1)/4+W_Pad*(Z35-1)/4+W_Vol*(AA35-1)/4)</f>
        <v/>
      </c>
      <c r="AL35" s="29" t="str">
        <f aca="false">IF($AI35&lt;&gt;"Completo","",(1-F_Pen*(AE35-1)/4)*(1-F_Pen*(AD35-1)/4))</f>
        <v/>
      </c>
      <c r="AM35" s="29" t="str">
        <f aca="false">IF($AI35&lt;&gt;"Completo","",SQRT(AK35*AL35))</f>
        <v/>
      </c>
      <c r="AN35" s="30" t="str">
        <f aca="false">IF($AI35&lt;&gt;"Completo","",100*AJ35^Exp_V*AM35^Exp_Vb)</f>
        <v/>
      </c>
      <c r="AO35" s="15" t="str">
        <f aca="false">IF(AN35="","",IF(AJ35&gt;=Corte,IF(AM35&gt;=Corte,"Fazer primeiro","Projeto estratégico"),IF(AM35&gt;=Corte,"Quick win","Evitar")))</f>
        <v/>
      </c>
      <c r="AP35" s="15" t="str">
        <f aca="false">IF(AN35="","",IF(OR(AD35&gt;=Trava_Nota,AE35&gt;=Trava_Nota),"SIM","—"))</f>
        <v/>
      </c>
      <c r="AQ35" s="15" t="str">
        <f aca="false">IF(AN35="","",IF(MAX(AF35,AG35)&lt;=Rota_Nota,"SIM","—"))</f>
        <v/>
      </c>
      <c r="AR35" s="15" t="str">
        <f aca="false">IF(AN35="","",IF(Z35&lt;=Rota_Nota,"SIM","—"))</f>
        <v/>
      </c>
      <c r="AS35" s="15" t="str">
        <f aca="false">IF(AN35="","",IF(AP35="SIM",IF(AJ35&gt;=Corte,"Projeto estratégico","Evitar"),AO35))</f>
        <v/>
      </c>
      <c r="AT35" s="15" t="str">
        <f aca="false">IF(AN35="","",IF(OR(AND(AJ35&gt;=Fr_Min,AJ35&lt;=Fr_Max),AND(AM35&gt;=Fr_Min,AM35&lt;=Fr_Max)),"Revisar",""))</f>
        <v/>
      </c>
      <c r="AU35" s="15" t="str">
        <f aca="false">IF(BE35="","",COUNTIF($BE$6:$BE$105,"&gt;"&amp;BE35)+1)</f>
        <v/>
      </c>
      <c r="AV35" s="16"/>
      <c r="AW35" s="15" t="str">
        <f aca="false">IF(B35="","",IF(AV35&lt;&gt;"",AV35,'MEUS PROCESSOS'!M35))</f>
        <v/>
      </c>
      <c r="AX35" s="23"/>
      <c r="AY35" s="31" t="str">
        <f aca="false">IF(AW35="","",IF(AX35&lt;&gt;"",AX35,IF(AW35="S",Red_S,IF(AW35="P",Red_P,IF(AW35="A",Red_A,IF(AW35="IA",Red_IA,""))))))</f>
        <v/>
      </c>
      <c r="AZ35" s="27" t="str">
        <f aca="false">IF(OR(V35="",AY35=""),"",(T35+U35)*AY35)</f>
        <v/>
      </c>
      <c r="BA35" s="27" t="str">
        <f aca="false">IF(OR(V35="",AY35=""),"",(R35+S35)*AY35)</f>
        <v/>
      </c>
      <c r="BB35" s="27" t="str">
        <f aca="false">IF(AZ35="","",AZ35+BA35)</f>
        <v/>
      </c>
      <c r="BC35" s="27" t="str">
        <f aca="false">IF(OR(P35="",AY35=""),"",(P35*(1+N(J35))+N(M35))*12*AY35)</f>
        <v/>
      </c>
      <c r="BD35" s="18" t="str">
        <f aca="false">IF(B35="","",IF(AND(AW35="E",AX35=""),"Eliminar: informe quanto do esforço atual deixa de existir (0% a 100%). Não há percentual inicial sugerido.",IF(AND(AX35="",AY35&lt;&gt;""),"Redução pela faixa inicial para simulação","")))</f>
        <v/>
      </c>
      <c r="BE35" s="19" t="str">
        <f aca="false">IF(AND(AN35&lt;&gt;"",D35=1),AN35+(1000-A35)/1000000,"")</f>
        <v/>
      </c>
    </row>
    <row r="36" customFormat="false" ht="15" hidden="false" customHeight="false" outlineLevel="0" collapsed="false">
      <c r="A36" s="15" t="n">
        <v>31</v>
      </c>
      <c r="B36" s="18" t="str">
        <f aca="false">IF('MEUS PROCESSOS'!J36="","",'MEUS PROCESSOS'!J36)</f>
        <v/>
      </c>
      <c r="C36" s="15" t="str">
        <f aca="false">IF('MEUS PROCESSOS'!K36="","",'MEUS PROCESSOS'!K36)</f>
        <v/>
      </c>
      <c r="D36" s="19" t="n">
        <f aca="false">'MEUS PROCESSOS'!Q36</f>
        <v>0</v>
      </c>
      <c r="E36" s="16"/>
      <c r="F36" s="16"/>
      <c r="G36" s="16"/>
      <c r="H36" s="16"/>
      <c r="I36" s="22"/>
      <c r="J36" s="23"/>
      <c r="K36" s="16"/>
      <c r="L36" s="24"/>
      <c r="M36" s="16"/>
      <c r="N36" s="24"/>
      <c r="O36" s="25" t="str">
        <f aca="false">IF(OR(E36="",F36=""),"",F36*IF(E36="Diária",Mult_Diaria,IF(E36="Semanal",Mult_Semanal,1)))</f>
        <v/>
      </c>
      <c r="P36" s="25" t="str">
        <f aca="false">IF(OR(O36="",G36="",H36=""),"",O36*G36/60*H36)</f>
        <v/>
      </c>
      <c r="Q36" s="26" t="str">
        <f aca="false">IF(I36&lt;&gt;"",I36,IF(Custo_Hora_Padrao&lt;&gt;"",Custo_Hora_Padrao,""))</f>
        <v/>
      </c>
      <c r="R36" s="27" t="str">
        <f aca="false">IF(OR(P36="",Q36=""),"",P36*Q36*12)</f>
        <v/>
      </c>
      <c r="S36" s="27" t="str">
        <f aca="false">IF(R36="","",R36*N(J36))</f>
        <v/>
      </c>
      <c r="T36" s="27" t="str">
        <f aca="false">IF(R36="","",N(K36)*N(L36)*12)</f>
        <v/>
      </c>
      <c r="U36" s="27" t="str">
        <f aca="false">IF(R36="","",(N(M36)*Q36*HE_Fator+N(N36))*12)</f>
        <v/>
      </c>
      <c r="V36" s="28" t="str">
        <f aca="false">IF(R36="","",R36+S36+T36+U36)</f>
        <v/>
      </c>
      <c r="W36" s="15" t="str">
        <f aca="false">IF(V36="","",IF(V36&lt;=Faixa_1,1,IF(V36&lt;=Faixa_2,2,IF(V36&lt;=Faixa_3,3,IF(V36&lt;=Faixa_4,4,5)))))</f>
        <v/>
      </c>
      <c r="X36" s="16"/>
      <c r="Y36" s="16"/>
      <c r="Z36" s="16"/>
      <c r="AA36" s="16"/>
      <c r="AB36" s="16"/>
      <c r="AC36" s="16"/>
      <c r="AD36" s="16"/>
      <c r="AE36" s="16"/>
      <c r="AF36" s="15" t="str">
        <f aca="false">IF(AB36&lt;&gt;"",AB36,IF('MEUS PROCESSOS'!N36="Alto",Sug_Alto,IF('MEUS PROCESSOS'!N36="Médio",Sug_Medio,IF('MEUS PROCESSOS'!N36="Baixo",Sug_Baixo,""))))</f>
        <v/>
      </c>
      <c r="AG36" s="15" t="str">
        <f aca="false">IF(AC36&lt;&gt;"",AC36,IF('MEUS PROCESSOS'!O36="Alto",Sug_Alto,IF('MEUS PROCESSOS'!O36="Médio",Sug_Medio,IF('MEUS PROCESSOS'!O36="Baixo",Sug_Baixo,""))))</f>
        <v/>
      </c>
      <c r="AH36" s="15" t="str">
        <f aca="false">IF(B36="","",IF(AND(AB36&lt;&gt;"",AC36&lt;&gt;""),"Avaliado pela empresa",IF(AND(AB36="",AC36="",'MEUS PROCESSOS'!N36&lt;&gt;""),"Sugestão da biblioteca",IF('MEUS PROCESSOS'!N36&lt;&gt;"","Parcialmente sugerido",IF(AND(AB36="",AC36=""),"","Avaliado pela empresa")))))</f>
        <v/>
      </c>
      <c r="AI36" s="18" t="str">
        <f aca="false">IF(B36="","",IF(AND((COUNTBLANK(X36:AA36)+COUNTBLANK(AD36:AE36)+(AF36="")*1+(AG36="")*1)=0,W36&lt;&gt;""),"Completo","Incompleto — faltam "&amp;IF((COUNTBLANK(X36:AA36)+COUNTBLANK(AD36:AE36)+(AF36="")*1+(AG36="")*1)&gt;0,(COUNTBLANK(X36:AA36)+COUNTBLANK(AD36:AE36)+(AF36="")*1+(AG36="")*1)&amp;IF((COUNTBLANK(X36:AA36)+COUNTBLANK(AD36:AE36)+(AF36="")*1+(AG36="")*1)=1," avaliação"," avaliações"),"")&amp;IF(AND((COUNTBLANK(X36:AA36)+COUNTBLANK(AD36:AE36)+(AF36="")*1+(AG36="")*1)&gt;0,W36=""), " e ","")&amp;IF(W36="","os dados de custo","")))</f>
        <v/>
      </c>
      <c r="AJ36" s="29" t="str">
        <f aca="false">IF($AI36&lt;&gt;"Completo","",W_Custo*(W36-1)/4+W_Imp*(X36-1)/4)</f>
        <v/>
      </c>
      <c r="AK36" s="29" t="str">
        <f aca="false">IF($AI36&lt;&gt;"Completo","",W_Pot*(MAX(AF36,AG36)-1)/4+W_Rep*(Y36-1)/4+W_Pad*(Z36-1)/4+W_Vol*(AA36-1)/4)</f>
        <v/>
      </c>
      <c r="AL36" s="29" t="str">
        <f aca="false">IF($AI36&lt;&gt;"Completo","",(1-F_Pen*(AE36-1)/4)*(1-F_Pen*(AD36-1)/4))</f>
        <v/>
      </c>
      <c r="AM36" s="29" t="str">
        <f aca="false">IF($AI36&lt;&gt;"Completo","",SQRT(AK36*AL36))</f>
        <v/>
      </c>
      <c r="AN36" s="30" t="str">
        <f aca="false">IF($AI36&lt;&gt;"Completo","",100*AJ36^Exp_V*AM36^Exp_Vb)</f>
        <v/>
      </c>
      <c r="AO36" s="15" t="str">
        <f aca="false">IF(AN36="","",IF(AJ36&gt;=Corte,IF(AM36&gt;=Corte,"Fazer primeiro","Projeto estratégico"),IF(AM36&gt;=Corte,"Quick win","Evitar")))</f>
        <v/>
      </c>
      <c r="AP36" s="15" t="str">
        <f aca="false">IF(AN36="","",IF(OR(AD36&gt;=Trava_Nota,AE36&gt;=Trava_Nota),"SIM","—"))</f>
        <v/>
      </c>
      <c r="AQ36" s="15" t="str">
        <f aca="false">IF(AN36="","",IF(MAX(AF36,AG36)&lt;=Rota_Nota,"SIM","—"))</f>
        <v/>
      </c>
      <c r="AR36" s="15" t="str">
        <f aca="false">IF(AN36="","",IF(Z36&lt;=Rota_Nota,"SIM","—"))</f>
        <v/>
      </c>
      <c r="AS36" s="15" t="str">
        <f aca="false">IF(AN36="","",IF(AP36="SIM",IF(AJ36&gt;=Corte,"Projeto estratégico","Evitar"),AO36))</f>
        <v/>
      </c>
      <c r="AT36" s="15" t="str">
        <f aca="false">IF(AN36="","",IF(OR(AND(AJ36&gt;=Fr_Min,AJ36&lt;=Fr_Max),AND(AM36&gt;=Fr_Min,AM36&lt;=Fr_Max)),"Revisar",""))</f>
        <v/>
      </c>
      <c r="AU36" s="15" t="str">
        <f aca="false">IF(BE36="","",COUNTIF($BE$6:$BE$105,"&gt;"&amp;BE36)+1)</f>
        <v/>
      </c>
      <c r="AV36" s="16"/>
      <c r="AW36" s="15" t="str">
        <f aca="false">IF(B36="","",IF(AV36&lt;&gt;"",AV36,'MEUS PROCESSOS'!M36))</f>
        <v/>
      </c>
      <c r="AX36" s="23"/>
      <c r="AY36" s="31" t="str">
        <f aca="false">IF(AW36="","",IF(AX36&lt;&gt;"",AX36,IF(AW36="S",Red_S,IF(AW36="P",Red_P,IF(AW36="A",Red_A,IF(AW36="IA",Red_IA,""))))))</f>
        <v/>
      </c>
      <c r="AZ36" s="27" t="str">
        <f aca="false">IF(OR(V36="",AY36=""),"",(T36+U36)*AY36)</f>
        <v/>
      </c>
      <c r="BA36" s="27" t="str">
        <f aca="false">IF(OR(V36="",AY36=""),"",(R36+S36)*AY36)</f>
        <v/>
      </c>
      <c r="BB36" s="27" t="str">
        <f aca="false">IF(AZ36="","",AZ36+BA36)</f>
        <v/>
      </c>
      <c r="BC36" s="27" t="str">
        <f aca="false">IF(OR(P36="",AY36=""),"",(P36*(1+N(J36))+N(M36))*12*AY36)</f>
        <v/>
      </c>
      <c r="BD36" s="18" t="str">
        <f aca="false">IF(B36="","",IF(AND(AW36="E",AX36=""),"Eliminar: informe quanto do esforço atual deixa de existir (0% a 100%). Não há percentual inicial sugerido.",IF(AND(AX36="",AY36&lt;&gt;""),"Redução pela faixa inicial para simulação","")))</f>
        <v/>
      </c>
      <c r="BE36" s="19" t="str">
        <f aca="false">IF(AND(AN36&lt;&gt;"",D36=1),AN36+(1000-A36)/1000000,"")</f>
        <v/>
      </c>
    </row>
    <row r="37" customFormat="false" ht="15" hidden="false" customHeight="false" outlineLevel="0" collapsed="false">
      <c r="A37" s="15" t="n">
        <v>32</v>
      </c>
      <c r="B37" s="18" t="str">
        <f aca="false">IF('MEUS PROCESSOS'!J37="","",'MEUS PROCESSOS'!J37)</f>
        <v/>
      </c>
      <c r="C37" s="15" t="str">
        <f aca="false">IF('MEUS PROCESSOS'!K37="","",'MEUS PROCESSOS'!K37)</f>
        <v/>
      </c>
      <c r="D37" s="19" t="n">
        <f aca="false">'MEUS PROCESSOS'!Q37</f>
        <v>0</v>
      </c>
      <c r="E37" s="16"/>
      <c r="F37" s="16"/>
      <c r="G37" s="16"/>
      <c r="H37" s="16"/>
      <c r="I37" s="22"/>
      <c r="J37" s="23"/>
      <c r="K37" s="16"/>
      <c r="L37" s="24"/>
      <c r="M37" s="16"/>
      <c r="N37" s="24"/>
      <c r="O37" s="25" t="str">
        <f aca="false">IF(OR(E37="",F37=""),"",F37*IF(E37="Diária",Mult_Diaria,IF(E37="Semanal",Mult_Semanal,1)))</f>
        <v/>
      </c>
      <c r="P37" s="25" t="str">
        <f aca="false">IF(OR(O37="",G37="",H37=""),"",O37*G37/60*H37)</f>
        <v/>
      </c>
      <c r="Q37" s="26" t="str">
        <f aca="false">IF(I37&lt;&gt;"",I37,IF(Custo_Hora_Padrao&lt;&gt;"",Custo_Hora_Padrao,""))</f>
        <v/>
      </c>
      <c r="R37" s="27" t="str">
        <f aca="false">IF(OR(P37="",Q37=""),"",P37*Q37*12)</f>
        <v/>
      </c>
      <c r="S37" s="27" t="str">
        <f aca="false">IF(R37="","",R37*N(J37))</f>
        <v/>
      </c>
      <c r="T37" s="27" t="str">
        <f aca="false">IF(R37="","",N(K37)*N(L37)*12)</f>
        <v/>
      </c>
      <c r="U37" s="27" t="str">
        <f aca="false">IF(R37="","",(N(M37)*Q37*HE_Fator+N(N37))*12)</f>
        <v/>
      </c>
      <c r="V37" s="28" t="str">
        <f aca="false">IF(R37="","",R37+S37+T37+U37)</f>
        <v/>
      </c>
      <c r="W37" s="15" t="str">
        <f aca="false">IF(V37="","",IF(V37&lt;=Faixa_1,1,IF(V37&lt;=Faixa_2,2,IF(V37&lt;=Faixa_3,3,IF(V37&lt;=Faixa_4,4,5)))))</f>
        <v/>
      </c>
      <c r="X37" s="16"/>
      <c r="Y37" s="16"/>
      <c r="Z37" s="16"/>
      <c r="AA37" s="16"/>
      <c r="AB37" s="16"/>
      <c r="AC37" s="16"/>
      <c r="AD37" s="16"/>
      <c r="AE37" s="16"/>
      <c r="AF37" s="15" t="str">
        <f aca="false">IF(AB37&lt;&gt;"",AB37,IF('MEUS PROCESSOS'!N37="Alto",Sug_Alto,IF('MEUS PROCESSOS'!N37="Médio",Sug_Medio,IF('MEUS PROCESSOS'!N37="Baixo",Sug_Baixo,""))))</f>
        <v/>
      </c>
      <c r="AG37" s="15" t="str">
        <f aca="false">IF(AC37&lt;&gt;"",AC37,IF('MEUS PROCESSOS'!O37="Alto",Sug_Alto,IF('MEUS PROCESSOS'!O37="Médio",Sug_Medio,IF('MEUS PROCESSOS'!O37="Baixo",Sug_Baixo,""))))</f>
        <v/>
      </c>
      <c r="AH37" s="15" t="str">
        <f aca="false">IF(B37="","",IF(AND(AB37&lt;&gt;"",AC37&lt;&gt;""),"Avaliado pela empresa",IF(AND(AB37="",AC37="",'MEUS PROCESSOS'!N37&lt;&gt;""),"Sugestão da biblioteca",IF('MEUS PROCESSOS'!N37&lt;&gt;"","Parcialmente sugerido",IF(AND(AB37="",AC37=""),"","Avaliado pela empresa")))))</f>
        <v/>
      </c>
      <c r="AI37" s="18" t="str">
        <f aca="false">IF(B37="","",IF(AND((COUNTBLANK(X37:AA37)+COUNTBLANK(AD37:AE37)+(AF37="")*1+(AG37="")*1)=0,W37&lt;&gt;""),"Completo","Incompleto — faltam "&amp;IF((COUNTBLANK(X37:AA37)+COUNTBLANK(AD37:AE37)+(AF37="")*1+(AG37="")*1)&gt;0,(COUNTBLANK(X37:AA37)+COUNTBLANK(AD37:AE37)+(AF37="")*1+(AG37="")*1)&amp;IF((COUNTBLANK(X37:AA37)+COUNTBLANK(AD37:AE37)+(AF37="")*1+(AG37="")*1)=1," avaliação"," avaliações"),"")&amp;IF(AND((COUNTBLANK(X37:AA37)+COUNTBLANK(AD37:AE37)+(AF37="")*1+(AG37="")*1)&gt;0,W37=""), " e ","")&amp;IF(W37="","os dados de custo","")))</f>
        <v/>
      </c>
      <c r="AJ37" s="29" t="str">
        <f aca="false">IF($AI37&lt;&gt;"Completo","",W_Custo*(W37-1)/4+W_Imp*(X37-1)/4)</f>
        <v/>
      </c>
      <c r="AK37" s="29" t="str">
        <f aca="false">IF($AI37&lt;&gt;"Completo","",W_Pot*(MAX(AF37,AG37)-1)/4+W_Rep*(Y37-1)/4+W_Pad*(Z37-1)/4+W_Vol*(AA37-1)/4)</f>
        <v/>
      </c>
      <c r="AL37" s="29" t="str">
        <f aca="false">IF($AI37&lt;&gt;"Completo","",(1-F_Pen*(AE37-1)/4)*(1-F_Pen*(AD37-1)/4))</f>
        <v/>
      </c>
      <c r="AM37" s="29" t="str">
        <f aca="false">IF($AI37&lt;&gt;"Completo","",SQRT(AK37*AL37))</f>
        <v/>
      </c>
      <c r="AN37" s="30" t="str">
        <f aca="false">IF($AI37&lt;&gt;"Completo","",100*AJ37^Exp_V*AM37^Exp_Vb)</f>
        <v/>
      </c>
      <c r="AO37" s="15" t="str">
        <f aca="false">IF(AN37="","",IF(AJ37&gt;=Corte,IF(AM37&gt;=Corte,"Fazer primeiro","Projeto estratégico"),IF(AM37&gt;=Corte,"Quick win","Evitar")))</f>
        <v/>
      </c>
      <c r="AP37" s="15" t="str">
        <f aca="false">IF(AN37="","",IF(OR(AD37&gt;=Trava_Nota,AE37&gt;=Trava_Nota),"SIM","—"))</f>
        <v/>
      </c>
      <c r="AQ37" s="15" t="str">
        <f aca="false">IF(AN37="","",IF(MAX(AF37,AG37)&lt;=Rota_Nota,"SIM","—"))</f>
        <v/>
      </c>
      <c r="AR37" s="15" t="str">
        <f aca="false">IF(AN37="","",IF(Z37&lt;=Rota_Nota,"SIM","—"))</f>
        <v/>
      </c>
      <c r="AS37" s="15" t="str">
        <f aca="false">IF(AN37="","",IF(AP37="SIM",IF(AJ37&gt;=Corte,"Projeto estratégico","Evitar"),AO37))</f>
        <v/>
      </c>
      <c r="AT37" s="15" t="str">
        <f aca="false">IF(AN37="","",IF(OR(AND(AJ37&gt;=Fr_Min,AJ37&lt;=Fr_Max),AND(AM37&gt;=Fr_Min,AM37&lt;=Fr_Max)),"Revisar",""))</f>
        <v/>
      </c>
      <c r="AU37" s="15" t="str">
        <f aca="false">IF(BE37="","",COUNTIF($BE$6:$BE$105,"&gt;"&amp;BE37)+1)</f>
        <v/>
      </c>
      <c r="AV37" s="16"/>
      <c r="AW37" s="15" t="str">
        <f aca="false">IF(B37="","",IF(AV37&lt;&gt;"",AV37,'MEUS PROCESSOS'!M37))</f>
        <v/>
      </c>
      <c r="AX37" s="23"/>
      <c r="AY37" s="31" t="str">
        <f aca="false">IF(AW37="","",IF(AX37&lt;&gt;"",AX37,IF(AW37="S",Red_S,IF(AW37="P",Red_P,IF(AW37="A",Red_A,IF(AW37="IA",Red_IA,""))))))</f>
        <v/>
      </c>
      <c r="AZ37" s="27" t="str">
        <f aca="false">IF(OR(V37="",AY37=""),"",(T37+U37)*AY37)</f>
        <v/>
      </c>
      <c r="BA37" s="27" t="str">
        <f aca="false">IF(OR(V37="",AY37=""),"",(R37+S37)*AY37)</f>
        <v/>
      </c>
      <c r="BB37" s="27" t="str">
        <f aca="false">IF(AZ37="","",AZ37+BA37)</f>
        <v/>
      </c>
      <c r="BC37" s="27" t="str">
        <f aca="false">IF(OR(P37="",AY37=""),"",(P37*(1+N(J37))+N(M37))*12*AY37)</f>
        <v/>
      </c>
      <c r="BD37" s="18" t="str">
        <f aca="false">IF(B37="","",IF(AND(AW37="E",AX37=""),"Eliminar: informe quanto do esforço atual deixa de existir (0% a 100%). Não há percentual inicial sugerido.",IF(AND(AX37="",AY37&lt;&gt;""),"Redução pela faixa inicial para simulação","")))</f>
        <v/>
      </c>
      <c r="BE37" s="19" t="str">
        <f aca="false">IF(AND(AN37&lt;&gt;"",D37=1),AN37+(1000-A37)/1000000,"")</f>
        <v/>
      </c>
    </row>
    <row r="38" customFormat="false" ht="15" hidden="false" customHeight="false" outlineLevel="0" collapsed="false">
      <c r="A38" s="15" t="n">
        <v>33</v>
      </c>
      <c r="B38" s="18" t="str">
        <f aca="false">IF('MEUS PROCESSOS'!J38="","",'MEUS PROCESSOS'!J38)</f>
        <v/>
      </c>
      <c r="C38" s="15" t="str">
        <f aca="false">IF('MEUS PROCESSOS'!K38="","",'MEUS PROCESSOS'!K38)</f>
        <v/>
      </c>
      <c r="D38" s="19" t="n">
        <f aca="false">'MEUS PROCESSOS'!Q38</f>
        <v>0</v>
      </c>
      <c r="E38" s="16"/>
      <c r="F38" s="16"/>
      <c r="G38" s="16"/>
      <c r="H38" s="16"/>
      <c r="I38" s="22"/>
      <c r="J38" s="23"/>
      <c r="K38" s="16"/>
      <c r="L38" s="24"/>
      <c r="M38" s="16"/>
      <c r="N38" s="24"/>
      <c r="O38" s="25" t="str">
        <f aca="false">IF(OR(E38="",F38=""),"",F38*IF(E38="Diária",Mult_Diaria,IF(E38="Semanal",Mult_Semanal,1)))</f>
        <v/>
      </c>
      <c r="P38" s="25" t="str">
        <f aca="false">IF(OR(O38="",G38="",H38=""),"",O38*G38/60*H38)</f>
        <v/>
      </c>
      <c r="Q38" s="26" t="str">
        <f aca="false">IF(I38&lt;&gt;"",I38,IF(Custo_Hora_Padrao&lt;&gt;"",Custo_Hora_Padrao,""))</f>
        <v/>
      </c>
      <c r="R38" s="27" t="str">
        <f aca="false">IF(OR(P38="",Q38=""),"",P38*Q38*12)</f>
        <v/>
      </c>
      <c r="S38" s="27" t="str">
        <f aca="false">IF(R38="","",R38*N(J38))</f>
        <v/>
      </c>
      <c r="T38" s="27" t="str">
        <f aca="false">IF(R38="","",N(K38)*N(L38)*12)</f>
        <v/>
      </c>
      <c r="U38" s="27" t="str">
        <f aca="false">IF(R38="","",(N(M38)*Q38*HE_Fator+N(N38))*12)</f>
        <v/>
      </c>
      <c r="V38" s="28" t="str">
        <f aca="false">IF(R38="","",R38+S38+T38+U38)</f>
        <v/>
      </c>
      <c r="W38" s="15" t="str">
        <f aca="false">IF(V38="","",IF(V38&lt;=Faixa_1,1,IF(V38&lt;=Faixa_2,2,IF(V38&lt;=Faixa_3,3,IF(V38&lt;=Faixa_4,4,5)))))</f>
        <v/>
      </c>
      <c r="X38" s="16"/>
      <c r="Y38" s="16"/>
      <c r="Z38" s="16"/>
      <c r="AA38" s="16"/>
      <c r="AB38" s="16"/>
      <c r="AC38" s="16"/>
      <c r="AD38" s="16"/>
      <c r="AE38" s="16"/>
      <c r="AF38" s="15" t="str">
        <f aca="false">IF(AB38&lt;&gt;"",AB38,IF('MEUS PROCESSOS'!N38="Alto",Sug_Alto,IF('MEUS PROCESSOS'!N38="Médio",Sug_Medio,IF('MEUS PROCESSOS'!N38="Baixo",Sug_Baixo,""))))</f>
        <v/>
      </c>
      <c r="AG38" s="15" t="str">
        <f aca="false">IF(AC38&lt;&gt;"",AC38,IF('MEUS PROCESSOS'!O38="Alto",Sug_Alto,IF('MEUS PROCESSOS'!O38="Médio",Sug_Medio,IF('MEUS PROCESSOS'!O38="Baixo",Sug_Baixo,""))))</f>
        <v/>
      </c>
      <c r="AH38" s="15" t="str">
        <f aca="false">IF(B38="","",IF(AND(AB38&lt;&gt;"",AC38&lt;&gt;""),"Avaliado pela empresa",IF(AND(AB38="",AC38="",'MEUS PROCESSOS'!N38&lt;&gt;""),"Sugestão da biblioteca",IF('MEUS PROCESSOS'!N38&lt;&gt;"","Parcialmente sugerido",IF(AND(AB38="",AC38=""),"","Avaliado pela empresa")))))</f>
        <v/>
      </c>
      <c r="AI38" s="18" t="str">
        <f aca="false">IF(B38="","",IF(AND((COUNTBLANK(X38:AA38)+COUNTBLANK(AD38:AE38)+(AF38="")*1+(AG38="")*1)=0,W38&lt;&gt;""),"Completo","Incompleto — faltam "&amp;IF((COUNTBLANK(X38:AA38)+COUNTBLANK(AD38:AE38)+(AF38="")*1+(AG38="")*1)&gt;0,(COUNTBLANK(X38:AA38)+COUNTBLANK(AD38:AE38)+(AF38="")*1+(AG38="")*1)&amp;IF((COUNTBLANK(X38:AA38)+COUNTBLANK(AD38:AE38)+(AF38="")*1+(AG38="")*1)=1," avaliação"," avaliações"),"")&amp;IF(AND((COUNTBLANK(X38:AA38)+COUNTBLANK(AD38:AE38)+(AF38="")*1+(AG38="")*1)&gt;0,W38=""), " e ","")&amp;IF(W38="","os dados de custo","")))</f>
        <v/>
      </c>
      <c r="AJ38" s="29" t="str">
        <f aca="false">IF($AI38&lt;&gt;"Completo","",W_Custo*(W38-1)/4+W_Imp*(X38-1)/4)</f>
        <v/>
      </c>
      <c r="AK38" s="29" t="str">
        <f aca="false">IF($AI38&lt;&gt;"Completo","",W_Pot*(MAX(AF38,AG38)-1)/4+W_Rep*(Y38-1)/4+W_Pad*(Z38-1)/4+W_Vol*(AA38-1)/4)</f>
        <v/>
      </c>
      <c r="AL38" s="29" t="str">
        <f aca="false">IF($AI38&lt;&gt;"Completo","",(1-F_Pen*(AE38-1)/4)*(1-F_Pen*(AD38-1)/4))</f>
        <v/>
      </c>
      <c r="AM38" s="29" t="str">
        <f aca="false">IF($AI38&lt;&gt;"Completo","",SQRT(AK38*AL38))</f>
        <v/>
      </c>
      <c r="AN38" s="30" t="str">
        <f aca="false">IF($AI38&lt;&gt;"Completo","",100*AJ38^Exp_V*AM38^Exp_Vb)</f>
        <v/>
      </c>
      <c r="AO38" s="15" t="str">
        <f aca="false">IF(AN38="","",IF(AJ38&gt;=Corte,IF(AM38&gt;=Corte,"Fazer primeiro","Projeto estratégico"),IF(AM38&gt;=Corte,"Quick win","Evitar")))</f>
        <v/>
      </c>
      <c r="AP38" s="15" t="str">
        <f aca="false">IF(AN38="","",IF(OR(AD38&gt;=Trava_Nota,AE38&gt;=Trava_Nota),"SIM","—"))</f>
        <v/>
      </c>
      <c r="AQ38" s="15" t="str">
        <f aca="false">IF(AN38="","",IF(MAX(AF38,AG38)&lt;=Rota_Nota,"SIM","—"))</f>
        <v/>
      </c>
      <c r="AR38" s="15" t="str">
        <f aca="false">IF(AN38="","",IF(Z38&lt;=Rota_Nota,"SIM","—"))</f>
        <v/>
      </c>
      <c r="AS38" s="15" t="str">
        <f aca="false">IF(AN38="","",IF(AP38="SIM",IF(AJ38&gt;=Corte,"Projeto estratégico","Evitar"),AO38))</f>
        <v/>
      </c>
      <c r="AT38" s="15" t="str">
        <f aca="false">IF(AN38="","",IF(OR(AND(AJ38&gt;=Fr_Min,AJ38&lt;=Fr_Max),AND(AM38&gt;=Fr_Min,AM38&lt;=Fr_Max)),"Revisar",""))</f>
        <v/>
      </c>
      <c r="AU38" s="15" t="str">
        <f aca="false">IF(BE38="","",COUNTIF($BE$6:$BE$105,"&gt;"&amp;BE38)+1)</f>
        <v/>
      </c>
      <c r="AV38" s="16"/>
      <c r="AW38" s="15" t="str">
        <f aca="false">IF(B38="","",IF(AV38&lt;&gt;"",AV38,'MEUS PROCESSOS'!M38))</f>
        <v/>
      </c>
      <c r="AX38" s="23"/>
      <c r="AY38" s="31" t="str">
        <f aca="false">IF(AW38="","",IF(AX38&lt;&gt;"",AX38,IF(AW38="S",Red_S,IF(AW38="P",Red_P,IF(AW38="A",Red_A,IF(AW38="IA",Red_IA,""))))))</f>
        <v/>
      </c>
      <c r="AZ38" s="27" t="str">
        <f aca="false">IF(OR(V38="",AY38=""),"",(T38+U38)*AY38)</f>
        <v/>
      </c>
      <c r="BA38" s="27" t="str">
        <f aca="false">IF(OR(V38="",AY38=""),"",(R38+S38)*AY38)</f>
        <v/>
      </c>
      <c r="BB38" s="27" t="str">
        <f aca="false">IF(AZ38="","",AZ38+BA38)</f>
        <v/>
      </c>
      <c r="BC38" s="27" t="str">
        <f aca="false">IF(OR(P38="",AY38=""),"",(P38*(1+N(J38))+N(M38))*12*AY38)</f>
        <v/>
      </c>
      <c r="BD38" s="18" t="str">
        <f aca="false">IF(B38="","",IF(AND(AW38="E",AX38=""),"Eliminar: informe quanto do esforço atual deixa de existir (0% a 100%). Não há percentual inicial sugerido.",IF(AND(AX38="",AY38&lt;&gt;""),"Redução pela faixa inicial para simulação","")))</f>
        <v/>
      </c>
      <c r="BE38" s="19" t="str">
        <f aca="false">IF(AND(AN38&lt;&gt;"",D38=1),AN38+(1000-A38)/1000000,"")</f>
        <v/>
      </c>
    </row>
    <row r="39" customFormat="false" ht="15" hidden="false" customHeight="false" outlineLevel="0" collapsed="false">
      <c r="A39" s="15" t="n">
        <v>34</v>
      </c>
      <c r="B39" s="18" t="str">
        <f aca="false">IF('MEUS PROCESSOS'!J39="","",'MEUS PROCESSOS'!J39)</f>
        <v/>
      </c>
      <c r="C39" s="15" t="str">
        <f aca="false">IF('MEUS PROCESSOS'!K39="","",'MEUS PROCESSOS'!K39)</f>
        <v/>
      </c>
      <c r="D39" s="19" t="n">
        <f aca="false">'MEUS PROCESSOS'!Q39</f>
        <v>0</v>
      </c>
      <c r="E39" s="16"/>
      <c r="F39" s="16"/>
      <c r="G39" s="16"/>
      <c r="H39" s="16"/>
      <c r="I39" s="22"/>
      <c r="J39" s="23"/>
      <c r="K39" s="16"/>
      <c r="L39" s="24"/>
      <c r="M39" s="16"/>
      <c r="N39" s="24"/>
      <c r="O39" s="25" t="str">
        <f aca="false">IF(OR(E39="",F39=""),"",F39*IF(E39="Diária",Mult_Diaria,IF(E39="Semanal",Mult_Semanal,1)))</f>
        <v/>
      </c>
      <c r="P39" s="25" t="str">
        <f aca="false">IF(OR(O39="",G39="",H39=""),"",O39*G39/60*H39)</f>
        <v/>
      </c>
      <c r="Q39" s="26" t="str">
        <f aca="false">IF(I39&lt;&gt;"",I39,IF(Custo_Hora_Padrao&lt;&gt;"",Custo_Hora_Padrao,""))</f>
        <v/>
      </c>
      <c r="R39" s="27" t="str">
        <f aca="false">IF(OR(P39="",Q39=""),"",P39*Q39*12)</f>
        <v/>
      </c>
      <c r="S39" s="27" t="str">
        <f aca="false">IF(R39="","",R39*N(J39))</f>
        <v/>
      </c>
      <c r="T39" s="27" t="str">
        <f aca="false">IF(R39="","",N(K39)*N(L39)*12)</f>
        <v/>
      </c>
      <c r="U39" s="27" t="str">
        <f aca="false">IF(R39="","",(N(M39)*Q39*HE_Fator+N(N39))*12)</f>
        <v/>
      </c>
      <c r="V39" s="28" t="str">
        <f aca="false">IF(R39="","",R39+S39+T39+U39)</f>
        <v/>
      </c>
      <c r="W39" s="15" t="str">
        <f aca="false">IF(V39="","",IF(V39&lt;=Faixa_1,1,IF(V39&lt;=Faixa_2,2,IF(V39&lt;=Faixa_3,3,IF(V39&lt;=Faixa_4,4,5)))))</f>
        <v/>
      </c>
      <c r="X39" s="16"/>
      <c r="Y39" s="16"/>
      <c r="Z39" s="16"/>
      <c r="AA39" s="16"/>
      <c r="AB39" s="16"/>
      <c r="AC39" s="16"/>
      <c r="AD39" s="16"/>
      <c r="AE39" s="16"/>
      <c r="AF39" s="15" t="str">
        <f aca="false">IF(AB39&lt;&gt;"",AB39,IF('MEUS PROCESSOS'!N39="Alto",Sug_Alto,IF('MEUS PROCESSOS'!N39="Médio",Sug_Medio,IF('MEUS PROCESSOS'!N39="Baixo",Sug_Baixo,""))))</f>
        <v/>
      </c>
      <c r="AG39" s="15" t="str">
        <f aca="false">IF(AC39&lt;&gt;"",AC39,IF('MEUS PROCESSOS'!O39="Alto",Sug_Alto,IF('MEUS PROCESSOS'!O39="Médio",Sug_Medio,IF('MEUS PROCESSOS'!O39="Baixo",Sug_Baixo,""))))</f>
        <v/>
      </c>
      <c r="AH39" s="15" t="str">
        <f aca="false">IF(B39="","",IF(AND(AB39&lt;&gt;"",AC39&lt;&gt;""),"Avaliado pela empresa",IF(AND(AB39="",AC39="",'MEUS PROCESSOS'!N39&lt;&gt;""),"Sugestão da biblioteca",IF('MEUS PROCESSOS'!N39&lt;&gt;"","Parcialmente sugerido",IF(AND(AB39="",AC39=""),"","Avaliado pela empresa")))))</f>
        <v/>
      </c>
      <c r="AI39" s="18" t="str">
        <f aca="false">IF(B39="","",IF(AND((COUNTBLANK(X39:AA39)+COUNTBLANK(AD39:AE39)+(AF39="")*1+(AG39="")*1)=0,W39&lt;&gt;""),"Completo","Incompleto — faltam "&amp;IF((COUNTBLANK(X39:AA39)+COUNTBLANK(AD39:AE39)+(AF39="")*1+(AG39="")*1)&gt;0,(COUNTBLANK(X39:AA39)+COUNTBLANK(AD39:AE39)+(AF39="")*1+(AG39="")*1)&amp;IF((COUNTBLANK(X39:AA39)+COUNTBLANK(AD39:AE39)+(AF39="")*1+(AG39="")*1)=1," avaliação"," avaliações"),"")&amp;IF(AND((COUNTBLANK(X39:AA39)+COUNTBLANK(AD39:AE39)+(AF39="")*1+(AG39="")*1)&gt;0,W39=""), " e ","")&amp;IF(W39="","os dados de custo","")))</f>
        <v/>
      </c>
      <c r="AJ39" s="29" t="str">
        <f aca="false">IF($AI39&lt;&gt;"Completo","",W_Custo*(W39-1)/4+W_Imp*(X39-1)/4)</f>
        <v/>
      </c>
      <c r="AK39" s="29" t="str">
        <f aca="false">IF($AI39&lt;&gt;"Completo","",W_Pot*(MAX(AF39,AG39)-1)/4+W_Rep*(Y39-1)/4+W_Pad*(Z39-1)/4+W_Vol*(AA39-1)/4)</f>
        <v/>
      </c>
      <c r="AL39" s="29" t="str">
        <f aca="false">IF($AI39&lt;&gt;"Completo","",(1-F_Pen*(AE39-1)/4)*(1-F_Pen*(AD39-1)/4))</f>
        <v/>
      </c>
      <c r="AM39" s="29" t="str">
        <f aca="false">IF($AI39&lt;&gt;"Completo","",SQRT(AK39*AL39))</f>
        <v/>
      </c>
      <c r="AN39" s="30" t="str">
        <f aca="false">IF($AI39&lt;&gt;"Completo","",100*AJ39^Exp_V*AM39^Exp_Vb)</f>
        <v/>
      </c>
      <c r="AO39" s="15" t="str">
        <f aca="false">IF(AN39="","",IF(AJ39&gt;=Corte,IF(AM39&gt;=Corte,"Fazer primeiro","Projeto estratégico"),IF(AM39&gt;=Corte,"Quick win","Evitar")))</f>
        <v/>
      </c>
      <c r="AP39" s="15" t="str">
        <f aca="false">IF(AN39="","",IF(OR(AD39&gt;=Trava_Nota,AE39&gt;=Trava_Nota),"SIM","—"))</f>
        <v/>
      </c>
      <c r="AQ39" s="15" t="str">
        <f aca="false">IF(AN39="","",IF(MAX(AF39,AG39)&lt;=Rota_Nota,"SIM","—"))</f>
        <v/>
      </c>
      <c r="AR39" s="15" t="str">
        <f aca="false">IF(AN39="","",IF(Z39&lt;=Rota_Nota,"SIM","—"))</f>
        <v/>
      </c>
      <c r="AS39" s="15" t="str">
        <f aca="false">IF(AN39="","",IF(AP39="SIM",IF(AJ39&gt;=Corte,"Projeto estratégico","Evitar"),AO39))</f>
        <v/>
      </c>
      <c r="AT39" s="15" t="str">
        <f aca="false">IF(AN39="","",IF(OR(AND(AJ39&gt;=Fr_Min,AJ39&lt;=Fr_Max),AND(AM39&gt;=Fr_Min,AM39&lt;=Fr_Max)),"Revisar",""))</f>
        <v/>
      </c>
      <c r="AU39" s="15" t="str">
        <f aca="false">IF(BE39="","",COUNTIF($BE$6:$BE$105,"&gt;"&amp;BE39)+1)</f>
        <v/>
      </c>
      <c r="AV39" s="16"/>
      <c r="AW39" s="15" t="str">
        <f aca="false">IF(B39="","",IF(AV39&lt;&gt;"",AV39,'MEUS PROCESSOS'!M39))</f>
        <v/>
      </c>
      <c r="AX39" s="23"/>
      <c r="AY39" s="31" t="str">
        <f aca="false">IF(AW39="","",IF(AX39&lt;&gt;"",AX39,IF(AW39="S",Red_S,IF(AW39="P",Red_P,IF(AW39="A",Red_A,IF(AW39="IA",Red_IA,""))))))</f>
        <v/>
      </c>
      <c r="AZ39" s="27" t="str">
        <f aca="false">IF(OR(V39="",AY39=""),"",(T39+U39)*AY39)</f>
        <v/>
      </c>
      <c r="BA39" s="27" t="str">
        <f aca="false">IF(OR(V39="",AY39=""),"",(R39+S39)*AY39)</f>
        <v/>
      </c>
      <c r="BB39" s="27" t="str">
        <f aca="false">IF(AZ39="","",AZ39+BA39)</f>
        <v/>
      </c>
      <c r="BC39" s="27" t="str">
        <f aca="false">IF(OR(P39="",AY39=""),"",(P39*(1+N(J39))+N(M39))*12*AY39)</f>
        <v/>
      </c>
      <c r="BD39" s="18" t="str">
        <f aca="false">IF(B39="","",IF(AND(AW39="E",AX39=""),"Eliminar: informe quanto do esforço atual deixa de existir (0% a 100%). Não há percentual inicial sugerido.",IF(AND(AX39="",AY39&lt;&gt;""),"Redução pela faixa inicial para simulação","")))</f>
        <v/>
      </c>
      <c r="BE39" s="19" t="str">
        <f aca="false">IF(AND(AN39&lt;&gt;"",D39=1),AN39+(1000-A39)/1000000,"")</f>
        <v/>
      </c>
    </row>
    <row r="40" customFormat="false" ht="15" hidden="false" customHeight="false" outlineLevel="0" collapsed="false">
      <c r="A40" s="15" t="n">
        <v>35</v>
      </c>
      <c r="B40" s="18" t="str">
        <f aca="false">IF('MEUS PROCESSOS'!J40="","",'MEUS PROCESSOS'!J40)</f>
        <v/>
      </c>
      <c r="C40" s="15" t="str">
        <f aca="false">IF('MEUS PROCESSOS'!K40="","",'MEUS PROCESSOS'!K40)</f>
        <v/>
      </c>
      <c r="D40" s="19" t="n">
        <f aca="false">'MEUS PROCESSOS'!Q40</f>
        <v>0</v>
      </c>
      <c r="E40" s="16"/>
      <c r="F40" s="16"/>
      <c r="G40" s="16"/>
      <c r="H40" s="16"/>
      <c r="I40" s="22"/>
      <c r="J40" s="23"/>
      <c r="K40" s="16"/>
      <c r="L40" s="24"/>
      <c r="M40" s="16"/>
      <c r="N40" s="24"/>
      <c r="O40" s="25" t="str">
        <f aca="false">IF(OR(E40="",F40=""),"",F40*IF(E40="Diária",Mult_Diaria,IF(E40="Semanal",Mult_Semanal,1)))</f>
        <v/>
      </c>
      <c r="P40" s="25" t="str">
        <f aca="false">IF(OR(O40="",G40="",H40=""),"",O40*G40/60*H40)</f>
        <v/>
      </c>
      <c r="Q40" s="26" t="str">
        <f aca="false">IF(I40&lt;&gt;"",I40,IF(Custo_Hora_Padrao&lt;&gt;"",Custo_Hora_Padrao,""))</f>
        <v/>
      </c>
      <c r="R40" s="27" t="str">
        <f aca="false">IF(OR(P40="",Q40=""),"",P40*Q40*12)</f>
        <v/>
      </c>
      <c r="S40" s="27" t="str">
        <f aca="false">IF(R40="","",R40*N(J40))</f>
        <v/>
      </c>
      <c r="T40" s="27" t="str">
        <f aca="false">IF(R40="","",N(K40)*N(L40)*12)</f>
        <v/>
      </c>
      <c r="U40" s="27" t="str">
        <f aca="false">IF(R40="","",(N(M40)*Q40*HE_Fator+N(N40))*12)</f>
        <v/>
      </c>
      <c r="V40" s="28" t="str">
        <f aca="false">IF(R40="","",R40+S40+T40+U40)</f>
        <v/>
      </c>
      <c r="W40" s="15" t="str">
        <f aca="false">IF(V40="","",IF(V40&lt;=Faixa_1,1,IF(V40&lt;=Faixa_2,2,IF(V40&lt;=Faixa_3,3,IF(V40&lt;=Faixa_4,4,5)))))</f>
        <v/>
      </c>
      <c r="X40" s="16"/>
      <c r="Y40" s="16"/>
      <c r="Z40" s="16"/>
      <c r="AA40" s="16"/>
      <c r="AB40" s="16"/>
      <c r="AC40" s="16"/>
      <c r="AD40" s="16"/>
      <c r="AE40" s="16"/>
      <c r="AF40" s="15" t="str">
        <f aca="false">IF(AB40&lt;&gt;"",AB40,IF('MEUS PROCESSOS'!N40="Alto",Sug_Alto,IF('MEUS PROCESSOS'!N40="Médio",Sug_Medio,IF('MEUS PROCESSOS'!N40="Baixo",Sug_Baixo,""))))</f>
        <v/>
      </c>
      <c r="AG40" s="15" t="str">
        <f aca="false">IF(AC40&lt;&gt;"",AC40,IF('MEUS PROCESSOS'!O40="Alto",Sug_Alto,IF('MEUS PROCESSOS'!O40="Médio",Sug_Medio,IF('MEUS PROCESSOS'!O40="Baixo",Sug_Baixo,""))))</f>
        <v/>
      </c>
      <c r="AH40" s="15" t="str">
        <f aca="false">IF(B40="","",IF(AND(AB40&lt;&gt;"",AC40&lt;&gt;""),"Avaliado pela empresa",IF(AND(AB40="",AC40="",'MEUS PROCESSOS'!N40&lt;&gt;""),"Sugestão da biblioteca",IF('MEUS PROCESSOS'!N40&lt;&gt;"","Parcialmente sugerido",IF(AND(AB40="",AC40=""),"","Avaliado pela empresa")))))</f>
        <v/>
      </c>
      <c r="AI40" s="18" t="str">
        <f aca="false">IF(B40="","",IF(AND((COUNTBLANK(X40:AA40)+COUNTBLANK(AD40:AE40)+(AF40="")*1+(AG40="")*1)=0,W40&lt;&gt;""),"Completo","Incompleto — faltam "&amp;IF((COUNTBLANK(X40:AA40)+COUNTBLANK(AD40:AE40)+(AF40="")*1+(AG40="")*1)&gt;0,(COUNTBLANK(X40:AA40)+COUNTBLANK(AD40:AE40)+(AF40="")*1+(AG40="")*1)&amp;IF((COUNTBLANK(X40:AA40)+COUNTBLANK(AD40:AE40)+(AF40="")*1+(AG40="")*1)=1," avaliação"," avaliações"),"")&amp;IF(AND((COUNTBLANK(X40:AA40)+COUNTBLANK(AD40:AE40)+(AF40="")*1+(AG40="")*1)&gt;0,W40=""), " e ","")&amp;IF(W40="","os dados de custo","")))</f>
        <v/>
      </c>
      <c r="AJ40" s="29" t="str">
        <f aca="false">IF($AI40&lt;&gt;"Completo","",W_Custo*(W40-1)/4+W_Imp*(X40-1)/4)</f>
        <v/>
      </c>
      <c r="AK40" s="29" t="str">
        <f aca="false">IF($AI40&lt;&gt;"Completo","",W_Pot*(MAX(AF40,AG40)-1)/4+W_Rep*(Y40-1)/4+W_Pad*(Z40-1)/4+W_Vol*(AA40-1)/4)</f>
        <v/>
      </c>
      <c r="AL40" s="29" t="str">
        <f aca="false">IF($AI40&lt;&gt;"Completo","",(1-F_Pen*(AE40-1)/4)*(1-F_Pen*(AD40-1)/4))</f>
        <v/>
      </c>
      <c r="AM40" s="29" t="str">
        <f aca="false">IF($AI40&lt;&gt;"Completo","",SQRT(AK40*AL40))</f>
        <v/>
      </c>
      <c r="AN40" s="30" t="str">
        <f aca="false">IF($AI40&lt;&gt;"Completo","",100*AJ40^Exp_V*AM40^Exp_Vb)</f>
        <v/>
      </c>
      <c r="AO40" s="15" t="str">
        <f aca="false">IF(AN40="","",IF(AJ40&gt;=Corte,IF(AM40&gt;=Corte,"Fazer primeiro","Projeto estratégico"),IF(AM40&gt;=Corte,"Quick win","Evitar")))</f>
        <v/>
      </c>
      <c r="AP40" s="15" t="str">
        <f aca="false">IF(AN40="","",IF(OR(AD40&gt;=Trava_Nota,AE40&gt;=Trava_Nota),"SIM","—"))</f>
        <v/>
      </c>
      <c r="AQ40" s="15" t="str">
        <f aca="false">IF(AN40="","",IF(MAX(AF40,AG40)&lt;=Rota_Nota,"SIM","—"))</f>
        <v/>
      </c>
      <c r="AR40" s="15" t="str">
        <f aca="false">IF(AN40="","",IF(Z40&lt;=Rota_Nota,"SIM","—"))</f>
        <v/>
      </c>
      <c r="AS40" s="15" t="str">
        <f aca="false">IF(AN40="","",IF(AP40="SIM",IF(AJ40&gt;=Corte,"Projeto estratégico","Evitar"),AO40))</f>
        <v/>
      </c>
      <c r="AT40" s="15" t="str">
        <f aca="false">IF(AN40="","",IF(OR(AND(AJ40&gt;=Fr_Min,AJ40&lt;=Fr_Max),AND(AM40&gt;=Fr_Min,AM40&lt;=Fr_Max)),"Revisar",""))</f>
        <v/>
      </c>
      <c r="AU40" s="15" t="str">
        <f aca="false">IF(BE40="","",COUNTIF($BE$6:$BE$105,"&gt;"&amp;BE40)+1)</f>
        <v/>
      </c>
      <c r="AV40" s="16"/>
      <c r="AW40" s="15" t="str">
        <f aca="false">IF(B40="","",IF(AV40&lt;&gt;"",AV40,'MEUS PROCESSOS'!M40))</f>
        <v/>
      </c>
      <c r="AX40" s="23"/>
      <c r="AY40" s="31" t="str">
        <f aca="false">IF(AW40="","",IF(AX40&lt;&gt;"",AX40,IF(AW40="S",Red_S,IF(AW40="P",Red_P,IF(AW40="A",Red_A,IF(AW40="IA",Red_IA,""))))))</f>
        <v/>
      </c>
      <c r="AZ40" s="27" t="str">
        <f aca="false">IF(OR(V40="",AY40=""),"",(T40+U40)*AY40)</f>
        <v/>
      </c>
      <c r="BA40" s="27" t="str">
        <f aca="false">IF(OR(V40="",AY40=""),"",(R40+S40)*AY40)</f>
        <v/>
      </c>
      <c r="BB40" s="27" t="str">
        <f aca="false">IF(AZ40="","",AZ40+BA40)</f>
        <v/>
      </c>
      <c r="BC40" s="27" t="str">
        <f aca="false">IF(OR(P40="",AY40=""),"",(P40*(1+N(J40))+N(M40))*12*AY40)</f>
        <v/>
      </c>
      <c r="BD40" s="18" t="str">
        <f aca="false">IF(B40="","",IF(AND(AW40="E",AX40=""),"Eliminar: informe quanto do esforço atual deixa de existir (0% a 100%). Não há percentual inicial sugerido.",IF(AND(AX40="",AY40&lt;&gt;""),"Redução pela faixa inicial para simulação","")))</f>
        <v/>
      </c>
      <c r="BE40" s="19" t="str">
        <f aca="false">IF(AND(AN40&lt;&gt;"",D40=1),AN40+(1000-A40)/1000000,"")</f>
        <v/>
      </c>
    </row>
    <row r="41" customFormat="false" ht="15" hidden="false" customHeight="false" outlineLevel="0" collapsed="false">
      <c r="A41" s="15" t="n">
        <v>36</v>
      </c>
      <c r="B41" s="18" t="str">
        <f aca="false">IF('MEUS PROCESSOS'!J41="","",'MEUS PROCESSOS'!J41)</f>
        <v/>
      </c>
      <c r="C41" s="15" t="str">
        <f aca="false">IF('MEUS PROCESSOS'!K41="","",'MEUS PROCESSOS'!K41)</f>
        <v/>
      </c>
      <c r="D41" s="19" t="n">
        <f aca="false">'MEUS PROCESSOS'!Q41</f>
        <v>0</v>
      </c>
      <c r="E41" s="16"/>
      <c r="F41" s="16"/>
      <c r="G41" s="16"/>
      <c r="H41" s="16"/>
      <c r="I41" s="22"/>
      <c r="J41" s="23"/>
      <c r="K41" s="16"/>
      <c r="L41" s="24"/>
      <c r="M41" s="16"/>
      <c r="N41" s="24"/>
      <c r="O41" s="25" t="str">
        <f aca="false">IF(OR(E41="",F41=""),"",F41*IF(E41="Diária",Mult_Diaria,IF(E41="Semanal",Mult_Semanal,1)))</f>
        <v/>
      </c>
      <c r="P41" s="25" t="str">
        <f aca="false">IF(OR(O41="",G41="",H41=""),"",O41*G41/60*H41)</f>
        <v/>
      </c>
      <c r="Q41" s="26" t="str">
        <f aca="false">IF(I41&lt;&gt;"",I41,IF(Custo_Hora_Padrao&lt;&gt;"",Custo_Hora_Padrao,""))</f>
        <v/>
      </c>
      <c r="R41" s="27" t="str">
        <f aca="false">IF(OR(P41="",Q41=""),"",P41*Q41*12)</f>
        <v/>
      </c>
      <c r="S41" s="27" t="str">
        <f aca="false">IF(R41="","",R41*N(J41))</f>
        <v/>
      </c>
      <c r="T41" s="27" t="str">
        <f aca="false">IF(R41="","",N(K41)*N(L41)*12)</f>
        <v/>
      </c>
      <c r="U41" s="27" t="str">
        <f aca="false">IF(R41="","",(N(M41)*Q41*HE_Fator+N(N41))*12)</f>
        <v/>
      </c>
      <c r="V41" s="28" t="str">
        <f aca="false">IF(R41="","",R41+S41+T41+U41)</f>
        <v/>
      </c>
      <c r="W41" s="15" t="str">
        <f aca="false">IF(V41="","",IF(V41&lt;=Faixa_1,1,IF(V41&lt;=Faixa_2,2,IF(V41&lt;=Faixa_3,3,IF(V41&lt;=Faixa_4,4,5)))))</f>
        <v/>
      </c>
      <c r="X41" s="16"/>
      <c r="Y41" s="16"/>
      <c r="Z41" s="16"/>
      <c r="AA41" s="16"/>
      <c r="AB41" s="16"/>
      <c r="AC41" s="16"/>
      <c r="AD41" s="16"/>
      <c r="AE41" s="16"/>
      <c r="AF41" s="15" t="str">
        <f aca="false">IF(AB41&lt;&gt;"",AB41,IF('MEUS PROCESSOS'!N41="Alto",Sug_Alto,IF('MEUS PROCESSOS'!N41="Médio",Sug_Medio,IF('MEUS PROCESSOS'!N41="Baixo",Sug_Baixo,""))))</f>
        <v/>
      </c>
      <c r="AG41" s="15" t="str">
        <f aca="false">IF(AC41&lt;&gt;"",AC41,IF('MEUS PROCESSOS'!O41="Alto",Sug_Alto,IF('MEUS PROCESSOS'!O41="Médio",Sug_Medio,IF('MEUS PROCESSOS'!O41="Baixo",Sug_Baixo,""))))</f>
        <v/>
      </c>
      <c r="AH41" s="15" t="str">
        <f aca="false">IF(B41="","",IF(AND(AB41&lt;&gt;"",AC41&lt;&gt;""),"Avaliado pela empresa",IF(AND(AB41="",AC41="",'MEUS PROCESSOS'!N41&lt;&gt;""),"Sugestão da biblioteca",IF('MEUS PROCESSOS'!N41&lt;&gt;"","Parcialmente sugerido",IF(AND(AB41="",AC41=""),"","Avaliado pela empresa")))))</f>
        <v/>
      </c>
      <c r="AI41" s="18" t="str">
        <f aca="false">IF(B41="","",IF(AND((COUNTBLANK(X41:AA41)+COUNTBLANK(AD41:AE41)+(AF41="")*1+(AG41="")*1)=0,W41&lt;&gt;""),"Completo","Incompleto — faltam "&amp;IF((COUNTBLANK(X41:AA41)+COUNTBLANK(AD41:AE41)+(AF41="")*1+(AG41="")*1)&gt;0,(COUNTBLANK(X41:AA41)+COUNTBLANK(AD41:AE41)+(AF41="")*1+(AG41="")*1)&amp;IF((COUNTBLANK(X41:AA41)+COUNTBLANK(AD41:AE41)+(AF41="")*1+(AG41="")*1)=1," avaliação"," avaliações"),"")&amp;IF(AND((COUNTBLANK(X41:AA41)+COUNTBLANK(AD41:AE41)+(AF41="")*1+(AG41="")*1)&gt;0,W41=""), " e ","")&amp;IF(W41="","os dados de custo","")))</f>
        <v/>
      </c>
      <c r="AJ41" s="29" t="str">
        <f aca="false">IF($AI41&lt;&gt;"Completo","",W_Custo*(W41-1)/4+W_Imp*(X41-1)/4)</f>
        <v/>
      </c>
      <c r="AK41" s="29" t="str">
        <f aca="false">IF($AI41&lt;&gt;"Completo","",W_Pot*(MAX(AF41,AG41)-1)/4+W_Rep*(Y41-1)/4+W_Pad*(Z41-1)/4+W_Vol*(AA41-1)/4)</f>
        <v/>
      </c>
      <c r="AL41" s="29" t="str">
        <f aca="false">IF($AI41&lt;&gt;"Completo","",(1-F_Pen*(AE41-1)/4)*(1-F_Pen*(AD41-1)/4))</f>
        <v/>
      </c>
      <c r="AM41" s="29" t="str">
        <f aca="false">IF($AI41&lt;&gt;"Completo","",SQRT(AK41*AL41))</f>
        <v/>
      </c>
      <c r="AN41" s="30" t="str">
        <f aca="false">IF($AI41&lt;&gt;"Completo","",100*AJ41^Exp_V*AM41^Exp_Vb)</f>
        <v/>
      </c>
      <c r="AO41" s="15" t="str">
        <f aca="false">IF(AN41="","",IF(AJ41&gt;=Corte,IF(AM41&gt;=Corte,"Fazer primeiro","Projeto estratégico"),IF(AM41&gt;=Corte,"Quick win","Evitar")))</f>
        <v/>
      </c>
      <c r="AP41" s="15" t="str">
        <f aca="false">IF(AN41="","",IF(OR(AD41&gt;=Trava_Nota,AE41&gt;=Trava_Nota),"SIM","—"))</f>
        <v/>
      </c>
      <c r="AQ41" s="15" t="str">
        <f aca="false">IF(AN41="","",IF(MAX(AF41,AG41)&lt;=Rota_Nota,"SIM","—"))</f>
        <v/>
      </c>
      <c r="AR41" s="15" t="str">
        <f aca="false">IF(AN41="","",IF(Z41&lt;=Rota_Nota,"SIM","—"))</f>
        <v/>
      </c>
      <c r="AS41" s="15" t="str">
        <f aca="false">IF(AN41="","",IF(AP41="SIM",IF(AJ41&gt;=Corte,"Projeto estratégico","Evitar"),AO41))</f>
        <v/>
      </c>
      <c r="AT41" s="15" t="str">
        <f aca="false">IF(AN41="","",IF(OR(AND(AJ41&gt;=Fr_Min,AJ41&lt;=Fr_Max),AND(AM41&gt;=Fr_Min,AM41&lt;=Fr_Max)),"Revisar",""))</f>
        <v/>
      </c>
      <c r="AU41" s="15" t="str">
        <f aca="false">IF(BE41="","",COUNTIF($BE$6:$BE$105,"&gt;"&amp;BE41)+1)</f>
        <v/>
      </c>
      <c r="AV41" s="16"/>
      <c r="AW41" s="15" t="str">
        <f aca="false">IF(B41="","",IF(AV41&lt;&gt;"",AV41,'MEUS PROCESSOS'!M41))</f>
        <v/>
      </c>
      <c r="AX41" s="23"/>
      <c r="AY41" s="31" t="str">
        <f aca="false">IF(AW41="","",IF(AX41&lt;&gt;"",AX41,IF(AW41="S",Red_S,IF(AW41="P",Red_P,IF(AW41="A",Red_A,IF(AW41="IA",Red_IA,""))))))</f>
        <v/>
      </c>
      <c r="AZ41" s="27" t="str">
        <f aca="false">IF(OR(V41="",AY41=""),"",(T41+U41)*AY41)</f>
        <v/>
      </c>
      <c r="BA41" s="27" t="str">
        <f aca="false">IF(OR(V41="",AY41=""),"",(R41+S41)*AY41)</f>
        <v/>
      </c>
      <c r="BB41" s="27" t="str">
        <f aca="false">IF(AZ41="","",AZ41+BA41)</f>
        <v/>
      </c>
      <c r="BC41" s="27" t="str">
        <f aca="false">IF(OR(P41="",AY41=""),"",(P41*(1+N(J41))+N(M41))*12*AY41)</f>
        <v/>
      </c>
      <c r="BD41" s="18" t="str">
        <f aca="false">IF(B41="","",IF(AND(AW41="E",AX41=""),"Eliminar: informe quanto do esforço atual deixa de existir (0% a 100%). Não há percentual inicial sugerido.",IF(AND(AX41="",AY41&lt;&gt;""),"Redução pela faixa inicial para simulação","")))</f>
        <v/>
      </c>
      <c r="BE41" s="19" t="str">
        <f aca="false">IF(AND(AN41&lt;&gt;"",D41=1),AN41+(1000-A41)/1000000,"")</f>
        <v/>
      </c>
    </row>
    <row r="42" customFormat="false" ht="15" hidden="false" customHeight="false" outlineLevel="0" collapsed="false">
      <c r="A42" s="15" t="n">
        <v>37</v>
      </c>
      <c r="B42" s="18" t="str">
        <f aca="false">IF('MEUS PROCESSOS'!J42="","",'MEUS PROCESSOS'!J42)</f>
        <v/>
      </c>
      <c r="C42" s="15" t="str">
        <f aca="false">IF('MEUS PROCESSOS'!K42="","",'MEUS PROCESSOS'!K42)</f>
        <v/>
      </c>
      <c r="D42" s="19" t="n">
        <f aca="false">'MEUS PROCESSOS'!Q42</f>
        <v>0</v>
      </c>
      <c r="E42" s="16"/>
      <c r="F42" s="16"/>
      <c r="G42" s="16"/>
      <c r="H42" s="16"/>
      <c r="I42" s="22"/>
      <c r="J42" s="23"/>
      <c r="K42" s="16"/>
      <c r="L42" s="24"/>
      <c r="M42" s="16"/>
      <c r="N42" s="24"/>
      <c r="O42" s="25" t="str">
        <f aca="false">IF(OR(E42="",F42=""),"",F42*IF(E42="Diária",Mult_Diaria,IF(E42="Semanal",Mult_Semanal,1)))</f>
        <v/>
      </c>
      <c r="P42" s="25" t="str">
        <f aca="false">IF(OR(O42="",G42="",H42=""),"",O42*G42/60*H42)</f>
        <v/>
      </c>
      <c r="Q42" s="26" t="str">
        <f aca="false">IF(I42&lt;&gt;"",I42,IF(Custo_Hora_Padrao&lt;&gt;"",Custo_Hora_Padrao,""))</f>
        <v/>
      </c>
      <c r="R42" s="27" t="str">
        <f aca="false">IF(OR(P42="",Q42=""),"",P42*Q42*12)</f>
        <v/>
      </c>
      <c r="S42" s="27" t="str">
        <f aca="false">IF(R42="","",R42*N(J42))</f>
        <v/>
      </c>
      <c r="T42" s="27" t="str">
        <f aca="false">IF(R42="","",N(K42)*N(L42)*12)</f>
        <v/>
      </c>
      <c r="U42" s="27" t="str">
        <f aca="false">IF(R42="","",(N(M42)*Q42*HE_Fator+N(N42))*12)</f>
        <v/>
      </c>
      <c r="V42" s="28" t="str">
        <f aca="false">IF(R42="","",R42+S42+T42+U42)</f>
        <v/>
      </c>
      <c r="W42" s="15" t="str">
        <f aca="false">IF(V42="","",IF(V42&lt;=Faixa_1,1,IF(V42&lt;=Faixa_2,2,IF(V42&lt;=Faixa_3,3,IF(V42&lt;=Faixa_4,4,5)))))</f>
        <v/>
      </c>
      <c r="X42" s="16"/>
      <c r="Y42" s="16"/>
      <c r="Z42" s="16"/>
      <c r="AA42" s="16"/>
      <c r="AB42" s="16"/>
      <c r="AC42" s="16"/>
      <c r="AD42" s="16"/>
      <c r="AE42" s="16"/>
      <c r="AF42" s="15" t="str">
        <f aca="false">IF(AB42&lt;&gt;"",AB42,IF('MEUS PROCESSOS'!N42="Alto",Sug_Alto,IF('MEUS PROCESSOS'!N42="Médio",Sug_Medio,IF('MEUS PROCESSOS'!N42="Baixo",Sug_Baixo,""))))</f>
        <v/>
      </c>
      <c r="AG42" s="15" t="str">
        <f aca="false">IF(AC42&lt;&gt;"",AC42,IF('MEUS PROCESSOS'!O42="Alto",Sug_Alto,IF('MEUS PROCESSOS'!O42="Médio",Sug_Medio,IF('MEUS PROCESSOS'!O42="Baixo",Sug_Baixo,""))))</f>
        <v/>
      </c>
      <c r="AH42" s="15" t="str">
        <f aca="false">IF(B42="","",IF(AND(AB42&lt;&gt;"",AC42&lt;&gt;""),"Avaliado pela empresa",IF(AND(AB42="",AC42="",'MEUS PROCESSOS'!N42&lt;&gt;""),"Sugestão da biblioteca",IF('MEUS PROCESSOS'!N42&lt;&gt;"","Parcialmente sugerido",IF(AND(AB42="",AC42=""),"","Avaliado pela empresa")))))</f>
        <v/>
      </c>
      <c r="AI42" s="18" t="str">
        <f aca="false">IF(B42="","",IF(AND((COUNTBLANK(X42:AA42)+COUNTBLANK(AD42:AE42)+(AF42="")*1+(AG42="")*1)=0,W42&lt;&gt;""),"Completo","Incompleto — faltam "&amp;IF((COUNTBLANK(X42:AA42)+COUNTBLANK(AD42:AE42)+(AF42="")*1+(AG42="")*1)&gt;0,(COUNTBLANK(X42:AA42)+COUNTBLANK(AD42:AE42)+(AF42="")*1+(AG42="")*1)&amp;IF((COUNTBLANK(X42:AA42)+COUNTBLANK(AD42:AE42)+(AF42="")*1+(AG42="")*1)=1," avaliação"," avaliações"),"")&amp;IF(AND((COUNTBLANK(X42:AA42)+COUNTBLANK(AD42:AE42)+(AF42="")*1+(AG42="")*1)&gt;0,W42=""), " e ","")&amp;IF(W42="","os dados de custo","")))</f>
        <v/>
      </c>
      <c r="AJ42" s="29" t="str">
        <f aca="false">IF($AI42&lt;&gt;"Completo","",W_Custo*(W42-1)/4+W_Imp*(X42-1)/4)</f>
        <v/>
      </c>
      <c r="AK42" s="29" t="str">
        <f aca="false">IF($AI42&lt;&gt;"Completo","",W_Pot*(MAX(AF42,AG42)-1)/4+W_Rep*(Y42-1)/4+W_Pad*(Z42-1)/4+W_Vol*(AA42-1)/4)</f>
        <v/>
      </c>
      <c r="AL42" s="29" t="str">
        <f aca="false">IF($AI42&lt;&gt;"Completo","",(1-F_Pen*(AE42-1)/4)*(1-F_Pen*(AD42-1)/4))</f>
        <v/>
      </c>
      <c r="AM42" s="29" t="str">
        <f aca="false">IF($AI42&lt;&gt;"Completo","",SQRT(AK42*AL42))</f>
        <v/>
      </c>
      <c r="AN42" s="30" t="str">
        <f aca="false">IF($AI42&lt;&gt;"Completo","",100*AJ42^Exp_V*AM42^Exp_Vb)</f>
        <v/>
      </c>
      <c r="AO42" s="15" t="str">
        <f aca="false">IF(AN42="","",IF(AJ42&gt;=Corte,IF(AM42&gt;=Corte,"Fazer primeiro","Projeto estratégico"),IF(AM42&gt;=Corte,"Quick win","Evitar")))</f>
        <v/>
      </c>
      <c r="AP42" s="15" t="str">
        <f aca="false">IF(AN42="","",IF(OR(AD42&gt;=Trava_Nota,AE42&gt;=Trava_Nota),"SIM","—"))</f>
        <v/>
      </c>
      <c r="AQ42" s="15" t="str">
        <f aca="false">IF(AN42="","",IF(MAX(AF42,AG42)&lt;=Rota_Nota,"SIM","—"))</f>
        <v/>
      </c>
      <c r="AR42" s="15" t="str">
        <f aca="false">IF(AN42="","",IF(Z42&lt;=Rota_Nota,"SIM","—"))</f>
        <v/>
      </c>
      <c r="AS42" s="15" t="str">
        <f aca="false">IF(AN42="","",IF(AP42="SIM",IF(AJ42&gt;=Corte,"Projeto estratégico","Evitar"),AO42))</f>
        <v/>
      </c>
      <c r="AT42" s="15" t="str">
        <f aca="false">IF(AN42="","",IF(OR(AND(AJ42&gt;=Fr_Min,AJ42&lt;=Fr_Max),AND(AM42&gt;=Fr_Min,AM42&lt;=Fr_Max)),"Revisar",""))</f>
        <v/>
      </c>
      <c r="AU42" s="15" t="str">
        <f aca="false">IF(BE42="","",COUNTIF($BE$6:$BE$105,"&gt;"&amp;BE42)+1)</f>
        <v/>
      </c>
      <c r="AV42" s="16"/>
      <c r="AW42" s="15" t="str">
        <f aca="false">IF(B42="","",IF(AV42&lt;&gt;"",AV42,'MEUS PROCESSOS'!M42))</f>
        <v/>
      </c>
      <c r="AX42" s="23"/>
      <c r="AY42" s="31" t="str">
        <f aca="false">IF(AW42="","",IF(AX42&lt;&gt;"",AX42,IF(AW42="S",Red_S,IF(AW42="P",Red_P,IF(AW42="A",Red_A,IF(AW42="IA",Red_IA,""))))))</f>
        <v/>
      </c>
      <c r="AZ42" s="27" t="str">
        <f aca="false">IF(OR(V42="",AY42=""),"",(T42+U42)*AY42)</f>
        <v/>
      </c>
      <c r="BA42" s="27" t="str">
        <f aca="false">IF(OR(V42="",AY42=""),"",(R42+S42)*AY42)</f>
        <v/>
      </c>
      <c r="BB42" s="27" t="str">
        <f aca="false">IF(AZ42="","",AZ42+BA42)</f>
        <v/>
      </c>
      <c r="BC42" s="27" t="str">
        <f aca="false">IF(OR(P42="",AY42=""),"",(P42*(1+N(J42))+N(M42))*12*AY42)</f>
        <v/>
      </c>
      <c r="BD42" s="18" t="str">
        <f aca="false">IF(B42="","",IF(AND(AW42="E",AX42=""),"Eliminar: informe quanto do esforço atual deixa de existir (0% a 100%). Não há percentual inicial sugerido.",IF(AND(AX42="",AY42&lt;&gt;""),"Redução pela faixa inicial para simulação","")))</f>
        <v/>
      </c>
      <c r="BE42" s="19" t="str">
        <f aca="false">IF(AND(AN42&lt;&gt;"",D42=1),AN42+(1000-A42)/1000000,"")</f>
        <v/>
      </c>
    </row>
    <row r="43" customFormat="false" ht="15" hidden="false" customHeight="false" outlineLevel="0" collapsed="false">
      <c r="A43" s="15" t="n">
        <v>38</v>
      </c>
      <c r="B43" s="18" t="str">
        <f aca="false">IF('MEUS PROCESSOS'!J43="","",'MEUS PROCESSOS'!J43)</f>
        <v/>
      </c>
      <c r="C43" s="15" t="str">
        <f aca="false">IF('MEUS PROCESSOS'!K43="","",'MEUS PROCESSOS'!K43)</f>
        <v/>
      </c>
      <c r="D43" s="19" t="n">
        <f aca="false">'MEUS PROCESSOS'!Q43</f>
        <v>0</v>
      </c>
      <c r="E43" s="16"/>
      <c r="F43" s="16"/>
      <c r="G43" s="16"/>
      <c r="H43" s="16"/>
      <c r="I43" s="22"/>
      <c r="J43" s="23"/>
      <c r="K43" s="16"/>
      <c r="L43" s="24"/>
      <c r="M43" s="16"/>
      <c r="N43" s="24"/>
      <c r="O43" s="25" t="str">
        <f aca="false">IF(OR(E43="",F43=""),"",F43*IF(E43="Diária",Mult_Diaria,IF(E43="Semanal",Mult_Semanal,1)))</f>
        <v/>
      </c>
      <c r="P43" s="25" t="str">
        <f aca="false">IF(OR(O43="",G43="",H43=""),"",O43*G43/60*H43)</f>
        <v/>
      </c>
      <c r="Q43" s="26" t="str">
        <f aca="false">IF(I43&lt;&gt;"",I43,IF(Custo_Hora_Padrao&lt;&gt;"",Custo_Hora_Padrao,""))</f>
        <v/>
      </c>
      <c r="R43" s="27" t="str">
        <f aca="false">IF(OR(P43="",Q43=""),"",P43*Q43*12)</f>
        <v/>
      </c>
      <c r="S43" s="27" t="str">
        <f aca="false">IF(R43="","",R43*N(J43))</f>
        <v/>
      </c>
      <c r="T43" s="27" t="str">
        <f aca="false">IF(R43="","",N(K43)*N(L43)*12)</f>
        <v/>
      </c>
      <c r="U43" s="27" t="str">
        <f aca="false">IF(R43="","",(N(M43)*Q43*HE_Fator+N(N43))*12)</f>
        <v/>
      </c>
      <c r="V43" s="28" t="str">
        <f aca="false">IF(R43="","",R43+S43+T43+U43)</f>
        <v/>
      </c>
      <c r="W43" s="15" t="str">
        <f aca="false">IF(V43="","",IF(V43&lt;=Faixa_1,1,IF(V43&lt;=Faixa_2,2,IF(V43&lt;=Faixa_3,3,IF(V43&lt;=Faixa_4,4,5)))))</f>
        <v/>
      </c>
      <c r="X43" s="16"/>
      <c r="Y43" s="16"/>
      <c r="Z43" s="16"/>
      <c r="AA43" s="16"/>
      <c r="AB43" s="16"/>
      <c r="AC43" s="16"/>
      <c r="AD43" s="16"/>
      <c r="AE43" s="16"/>
      <c r="AF43" s="15" t="str">
        <f aca="false">IF(AB43&lt;&gt;"",AB43,IF('MEUS PROCESSOS'!N43="Alto",Sug_Alto,IF('MEUS PROCESSOS'!N43="Médio",Sug_Medio,IF('MEUS PROCESSOS'!N43="Baixo",Sug_Baixo,""))))</f>
        <v/>
      </c>
      <c r="AG43" s="15" t="str">
        <f aca="false">IF(AC43&lt;&gt;"",AC43,IF('MEUS PROCESSOS'!O43="Alto",Sug_Alto,IF('MEUS PROCESSOS'!O43="Médio",Sug_Medio,IF('MEUS PROCESSOS'!O43="Baixo",Sug_Baixo,""))))</f>
        <v/>
      </c>
      <c r="AH43" s="15" t="str">
        <f aca="false">IF(B43="","",IF(AND(AB43&lt;&gt;"",AC43&lt;&gt;""),"Avaliado pela empresa",IF(AND(AB43="",AC43="",'MEUS PROCESSOS'!N43&lt;&gt;""),"Sugestão da biblioteca",IF('MEUS PROCESSOS'!N43&lt;&gt;"","Parcialmente sugerido",IF(AND(AB43="",AC43=""),"","Avaliado pela empresa")))))</f>
        <v/>
      </c>
      <c r="AI43" s="18" t="str">
        <f aca="false">IF(B43="","",IF(AND((COUNTBLANK(X43:AA43)+COUNTBLANK(AD43:AE43)+(AF43="")*1+(AG43="")*1)=0,W43&lt;&gt;""),"Completo","Incompleto — faltam "&amp;IF((COUNTBLANK(X43:AA43)+COUNTBLANK(AD43:AE43)+(AF43="")*1+(AG43="")*1)&gt;0,(COUNTBLANK(X43:AA43)+COUNTBLANK(AD43:AE43)+(AF43="")*1+(AG43="")*1)&amp;IF((COUNTBLANK(X43:AA43)+COUNTBLANK(AD43:AE43)+(AF43="")*1+(AG43="")*1)=1," avaliação"," avaliações"),"")&amp;IF(AND((COUNTBLANK(X43:AA43)+COUNTBLANK(AD43:AE43)+(AF43="")*1+(AG43="")*1)&gt;0,W43=""), " e ","")&amp;IF(W43="","os dados de custo","")))</f>
        <v/>
      </c>
      <c r="AJ43" s="29" t="str">
        <f aca="false">IF($AI43&lt;&gt;"Completo","",W_Custo*(W43-1)/4+W_Imp*(X43-1)/4)</f>
        <v/>
      </c>
      <c r="AK43" s="29" t="str">
        <f aca="false">IF($AI43&lt;&gt;"Completo","",W_Pot*(MAX(AF43,AG43)-1)/4+W_Rep*(Y43-1)/4+W_Pad*(Z43-1)/4+W_Vol*(AA43-1)/4)</f>
        <v/>
      </c>
      <c r="AL43" s="29" t="str">
        <f aca="false">IF($AI43&lt;&gt;"Completo","",(1-F_Pen*(AE43-1)/4)*(1-F_Pen*(AD43-1)/4))</f>
        <v/>
      </c>
      <c r="AM43" s="29" t="str">
        <f aca="false">IF($AI43&lt;&gt;"Completo","",SQRT(AK43*AL43))</f>
        <v/>
      </c>
      <c r="AN43" s="30" t="str">
        <f aca="false">IF($AI43&lt;&gt;"Completo","",100*AJ43^Exp_V*AM43^Exp_Vb)</f>
        <v/>
      </c>
      <c r="AO43" s="15" t="str">
        <f aca="false">IF(AN43="","",IF(AJ43&gt;=Corte,IF(AM43&gt;=Corte,"Fazer primeiro","Projeto estratégico"),IF(AM43&gt;=Corte,"Quick win","Evitar")))</f>
        <v/>
      </c>
      <c r="AP43" s="15" t="str">
        <f aca="false">IF(AN43="","",IF(OR(AD43&gt;=Trava_Nota,AE43&gt;=Trava_Nota),"SIM","—"))</f>
        <v/>
      </c>
      <c r="AQ43" s="15" t="str">
        <f aca="false">IF(AN43="","",IF(MAX(AF43,AG43)&lt;=Rota_Nota,"SIM","—"))</f>
        <v/>
      </c>
      <c r="AR43" s="15" t="str">
        <f aca="false">IF(AN43="","",IF(Z43&lt;=Rota_Nota,"SIM","—"))</f>
        <v/>
      </c>
      <c r="AS43" s="15" t="str">
        <f aca="false">IF(AN43="","",IF(AP43="SIM",IF(AJ43&gt;=Corte,"Projeto estratégico","Evitar"),AO43))</f>
        <v/>
      </c>
      <c r="AT43" s="15" t="str">
        <f aca="false">IF(AN43="","",IF(OR(AND(AJ43&gt;=Fr_Min,AJ43&lt;=Fr_Max),AND(AM43&gt;=Fr_Min,AM43&lt;=Fr_Max)),"Revisar",""))</f>
        <v/>
      </c>
      <c r="AU43" s="15" t="str">
        <f aca="false">IF(BE43="","",COUNTIF($BE$6:$BE$105,"&gt;"&amp;BE43)+1)</f>
        <v/>
      </c>
      <c r="AV43" s="16"/>
      <c r="AW43" s="15" t="str">
        <f aca="false">IF(B43="","",IF(AV43&lt;&gt;"",AV43,'MEUS PROCESSOS'!M43))</f>
        <v/>
      </c>
      <c r="AX43" s="23"/>
      <c r="AY43" s="31" t="str">
        <f aca="false">IF(AW43="","",IF(AX43&lt;&gt;"",AX43,IF(AW43="S",Red_S,IF(AW43="P",Red_P,IF(AW43="A",Red_A,IF(AW43="IA",Red_IA,""))))))</f>
        <v/>
      </c>
      <c r="AZ43" s="27" t="str">
        <f aca="false">IF(OR(V43="",AY43=""),"",(T43+U43)*AY43)</f>
        <v/>
      </c>
      <c r="BA43" s="27" t="str">
        <f aca="false">IF(OR(V43="",AY43=""),"",(R43+S43)*AY43)</f>
        <v/>
      </c>
      <c r="BB43" s="27" t="str">
        <f aca="false">IF(AZ43="","",AZ43+BA43)</f>
        <v/>
      </c>
      <c r="BC43" s="27" t="str">
        <f aca="false">IF(OR(P43="",AY43=""),"",(P43*(1+N(J43))+N(M43))*12*AY43)</f>
        <v/>
      </c>
      <c r="BD43" s="18" t="str">
        <f aca="false">IF(B43="","",IF(AND(AW43="E",AX43=""),"Eliminar: informe quanto do esforço atual deixa de existir (0% a 100%). Não há percentual inicial sugerido.",IF(AND(AX43="",AY43&lt;&gt;""),"Redução pela faixa inicial para simulação","")))</f>
        <v/>
      </c>
      <c r="BE43" s="19" t="str">
        <f aca="false">IF(AND(AN43&lt;&gt;"",D43=1),AN43+(1000-A43)/1000000,"")</f>
        <v/>
      </c>
    </row>
    <row r="44" customFormat="false" ht="15" hidden="false" customHeight="false" outlineLevel="0" collapsed="false">
      <c r="A44" s="15" t="n">
        <v>39</v>
      </c>
      <c r="B44" s="18" t="str">
        <f aca="false">IF('MEUS PROCESSOS'!J44="","",'MEUS PROCESSOS'!J44)</f>
        <v/>
      </c>
      <c r="C44" s="15" t="str">
        <f aca="false">IF('MEUS PROCESSOS'!K44="","",'MEUS PROCESSOS'!K44)</f>
        <v/>
      </c>
      <c r="D44" s="19" t="n">
        <f aca="false">'MEUS PROCESSOS'!Q44</f>
        <v>0</v>
      </c>
      <c r="E44" s="16"/>
      <c r="F44" s="16"/>
      <c r="G44" s="16"/>
      <c r="H44" s="16"/>
      <c r="I44" s="22"/>
      <c r="J44" s="23"/>
      <c r="K44" s="16"/>
      <c r="L44" s="24"/>
      <c r="M44" s="16"/>
      <c r="N44" s="24"/>
      <c r="O44" s="25" t="str">
        <f aca="false">IF(OR(E44="",F44=""),"",F44*IF(E44="Diária",Mult_Diaria,IF(E44="Semanal",Mult_Semanal,1)))</f>
        <v/>
      </c>
      <c r="P44" s="25" t="str">
        <f aca="false">IF(OR(O44="",G44="",H44=""),"",O44*G44/60*H44)</f>
        <v/>
      </c>
      <c r="Q44" s="26" t="str">
        <f aca="false">IF(I44&lt;&gt;"",I44,IF(Custo_Hora_Padrao&lt;&gt;"",Custo_Hora_Padrao,""))</f>
        <v/>
      </c>
      <c r="R44" s="27" t="str">
        <f aca="false">IF(OR(P44="",Q44=""),"",P44*Q44*12)</f>
        <v/>
      </c>
      <c r="S44" s="27" t="str">
        <f aca="false">IF(R44="","",R44*N(J44))</f>
        <v/>
      </c>
      <c r="T44" s="27" t="str">
        <f aca="false">IF(R44="","",N(K44)*N(L44)*12)</f>
        <v/>
      </c>
      <c r="U44" s="27" t="str">
        <f aca="false">IF(R44="","",(N(M44)*Q44*HE_Fator+N(N44))*12)</f>
        <v/>
      </c>
      <c r="V44" s="28" t="str">
        <f aca="false">IF(R44="","",R44+S44+T44+U44)</f>
        <v/>
      </c>
      <c r="W44" s="15" t="str">
        <f aca="false">IF(V44="","",IF(V44&lt;=Faixa_1,1,IF(V44&lt;=Faixa_2,2,IF(V44&lt;=Faixa_3,3,IF(V44&lt;=Faixa_4,4,5)))))</f>
        <v/>
      </c>
      <c r="X44" s="16"/>
      <c r="Y44" s="16"/>
      <c r="Z44" s="16"/>
      <c r="AA44" s="16"/>
      <c r="AB44" s="16"/>
      <c r="AC44" s="16"/>
      <c r="AD44" s="16"/>
      <c r="AE44" s="16"/>
      <c r="AF44" s="15" t="str">
        <f aca="false">IF(AB44&lt;&gt;"",AB44,IF('MEUS PROCESSOS'!N44="Alto",Sug_Alto,IF('MEUS PROCESSOS'!N44="Médio",Sug_Medio,IF('MEUS PROCESSOS'!N44="Baixo",Sug_Baixo,""))))</f>
        <v/>
      </c>
      <c r="AG44" s="15" t="str">
        <f aca="false">IF(AC44&lt;&gt;"",AC44,IF('MEUS PROCESSOS'!O44="Alto",Sug_Alto,IF('MEUS PROCESSOS'!O44="Médio",Sug_Medio,IF('MEUS PROCESSOS'!O44="Baixo",Sug_Baixo,""))))</f>
        <v/>
      </c>
      <c r="AH44" s="15" t="str">
        <f aca="false">IF(B44="","",IF(AND(AB44&lt;&gt;"",AC44&lt;&gt;""),"Avaliado pela empresa",IF(AND(AB44="",AC44="",'MEUS PROCESSOS'!N44&lt;&gt;""),"Sugestão da biblioteca",IF('MEUS PROCESSOS'!N44&lt;&gt;"","Parcialmente sugerido",IF(AND(AB44="",AC44=""),"","Avaliado pela empresa")))))</f>
        <v/>
      </c>
      <c r="AI44" s="18" t="str">
        <f aca="false">IF(B44="","",IF(AND((COUNTBLANK(X44:AA44)+COUNTBLANK(AD44:AE44)+(AF44="")*1+(AG44="")*1)=0,W44&lt;&gt;""),"Completo","Incompleto — faltam "&amp;IF((COUNTBLANK(X44:AA44)+COUNTBLANK(AD44:AE44)+(AF44="")*1+(AG44="")*1)&gt;0,(COUNTBLANK(X44:AA44)+COUNTBLANK(AD44:AE44)+(AF44="")*1+(AG44="")*1)&amp;IF((COUNTBLANK(X44:AA44)+COUNTBLANK(AD44:AE44)+(AF44="")*1+(AG44="")*1)=1," avaliação"," avaliações"),"")&amp;IF(AND((COUNTBLANK(X44:AA44)+COUNTBLANK(AD44:AE44)+(AF44="")*1+(AG44="")*1)&gt;0,W44=""), " e ","")&amp;IF(W44="","os dados de custo","")))</f>
        <v/>
      </c>
      <c r="AJ44" s="29" t="str">
        <f aca="false">IF($AI44&lt;&gt;"Completo","",W_Custo*(W44-1)/4+W_Imp*(X44-1)/4)</f>
        <v/>
      </c>
      <c r="AK44" s="29" t="str">
        <f aca="false">IF($AI44&lt;&gt;"Completo","",W_Pot*(MAX(AF44,AG44)-1)/4+W_Rep*(Y44-1)/4+W_Pad*(Z44-1)/4+W_Vol*(AA44-1)/4)</f>
        <v/>
      </c>
      <c r="AL44" s="29" t="str">
        <f aca="false">IF($AI44&lt;&gt;"Completo","",(1-F_Pen*(AE44-1)/4)*(1-F_Pen*(AD44-1)/4))</f>
        <v/>
      </c>
      <c r="AM44" s="29" t="str">
        <f aca="false">IF($AI44&lt;&gt;"Completo","",SQRT(AK44*AL44))</f>
        <v/>
      </c>
      <c r="AN44" s="30" t="str">
        <f aca="false">IF($AI44&lt;&gt;"Completo","",100*AJ44^Exp_V*AM44^Exp_Vb)</f>
        <v/>
      </c>
      <c r="AO44" s="15" t="str">
        <f aca="false">IF(AN44="","",IF(AJ44&gt;=Corte,IF(AM44&gt;=Corte,"Fazer primeiro","Projeto estratégico"),IF(AM44&gt;=Corte,"Quick win","Evitar")))</f>
        <v/>
      </c>
      <c r="AP44" s="15" t="str">
        <f aca="false">IF(AN44="","",IF(OR(AD44&gt;=Trava_Nota,AE44&gt;=Trava_Nota),"SIM","—"))</f>
        <v/>
      </c>
      <c r="AQ44" s="15" t="str">
        <f aca="false">IF(AN44="","",IF(MAX(AF44,AG44)&lt;=Rota_Nota,"SIM","—"))</f>
        <v/>
      </c>
      <c r="AR44" s="15" t="str">
        <f aca="false">IF(AN44="","",IF(Z44&lt;=Rota_Nota,"SIM","—"))</f>
        <v/>
      </c>
      <c r="AS44" s="15" t="str">
        <f aca="false">IF(AN44="","",IF(AP44="SIM",IF(AJ44&gt;=Corte,"Projeto estratégico","Evitar"),AO44))</f>
        <v/>
      </c>
      <c r="AT44" s="15" t="str">
        <f aca="false">IF(AN44="","",IF(OR(AND(AJ44&gt;=Fr_Min,AJ44&lt;=Fr_Max),AND(AM44&gt;=Fr_Min,AM44&lt;=Fr_Max)),"Revisar",""))</f>
        <v/>
      </c>
      <c r="AU44" s="15" t="str">
        <f aca="false">IF(BE44="","",COUNTIF($BE$6:$BE$105,"&gt;"&amp;BE44)+1)</f>
        <v/>
      </c>
      <c r="AV44" s="16"/>
      <c r="AW44" s="15" t="str">
        <f aca="false">IF(B44="","",IF(AV44&lt;&gt;"",AV44,'MEUS PROCESSOS'!M44))</f>
        <v/>
      </c>
      <c r="AX44" s="23"/>
      <c r="AY44" s="31" t="str">
        <f aca="false">IF(AW44="","",IF(AX44&lt;&gt;"",AX44,IF(AW44="S",Red_S,IF(AW44="P",Red_P,IF(AW44="A",Red_A,IF(AW44="IA",Red_IA,""))))))</f>
        <v/>
      </c>
      <c r="AZ44" s="27" t="str">
        <f aca="false">IF(OR(V44="",AY44=""),"",(T44+U44)*AY44)</f>
        <v/>
      </c>
      <c r="BA44" s="27" t="str">
        <f aca="false">IF(OR(V44="",AY44=""),"",(R44+S44)*AY44)</f>
        <v/>
      </c>
      <c r="BB44" s="27" t="str">
        <f aca="false">IF(AZ44="","",AZ44+BA44)</f>
        <v/>
      </c>
      <c r="BC44" s="27" t="str">
        <f aca="false">IF(OR(P44="",AY44=""),"",(P44*(1+N(J44))+N(M44))*12*AY44)</f>
        <v/>
      </c>
      <c r="BD44" s="18" t="str">
        <f aca="false">IF(B44="","",IF(AND(AW44="E",AX44=""),"Eliminar: informe quanto do esforço atual deixa de existir (0% a 100%). Não há percentual inicial sugerido.",IF(AND(AX44="",AY44&lt;&gt;""),"Redução pela faixa inicial para simulação","")))</f>
        <v/>
      </c>
      <c r="BE44" s="19" t="str">
        <f aca="false">IF(AND(AN44&lt;&gt;"",D44=1),AN44+(1000-A44)/1000000,"")</f>
        <v/>
      </c>
    </row>
    <row r="45" customFormat="false" ht="15" hidden="false" customHeight="false" outlineLevel="0" collapsed="false">
      <c r="A45" s="15" t="n">
        <v>40</v>
      </c>
      <c r="B45" s="18" t="str">
        <f aca="false">IF('MEUS PROCESSOS'!J45="","",'MEUS PROCESSOS'!J45)</f>
        <v/>
      </c>
      <c r="C45" s="15" t="str">
        <f aca="false">IF('MEUS PROCESSOS'!K45="","",'MEUS PROCESSOS'!K45)</f>
        <v/>
      </c>
      <c r="D45" s="19" t="n">
        <f aca="false">'MEUS PROCESSOS'!Q45</f>
        <v>0</v>
      </c>
      <c r="E45" s="16"/>
      <c r="F45" s="16"/>
      <c r="G45" s="16"/>
      <c r="H45" s="16"/>
      <c r="I45" s="22"/>
      <c r="J45" s="23"/>
      <c r="K45" s="16"/>
      <c r="L45" s="24"/>
      <c r="M45" s="16"/>
      <c r="N45" s="24"/>
      <c r="O45" s="25" t="str">
        <f aca="false">IF(OR(E45="",F45=""),"",F45*IF(E45="Diária",Mult_Diaria,IF(E45="Semanal",Mult_Semanal,1)))</f>
        <v/>
      </c>
      <c r="P45" s="25" t="str">
        <f aca="false">IF(OR(O45="",G45="",H45=""),"",O45*G45/60*H45)</f>
        <v/>
      </c>
      <c r="Q45" s="26" t="str">
        <f aca="false">IF(I45&lt;&gt;"",I45,IF(Custo_Hora_Padrao&lt;&gt;"",Custo_Hora_Padrao,""))</f>
        <v/>
      </c>
      <c r="R45" s="27" t="str">
        <f aca="false">IF(OR(P45="",Q45=""),"",P45*Q45*12)</f>
        <v/>
      </c>
      <c r="S45" s="27" t="str">
        <f aca="false">IF(R45="","",R45*N(J45))</f>
        <v/>
      </c>
      <c r="T45" s="27" t="str">
        <f aca="false">IF(R45="","",N(K45)*N(L45)*12)</f>
        <v/>
      </c>
      <c r="U45" s="27" t="str">
        <f aca="false">IF(R45="","",(N(M45)*Q45*HE_Fator+N(N45))*12)</f>
        <v/>
      </c>
      <c r="V45" s="28" t="str">
        <f aca="false">IF(R45="","",R45+S45+T45+U45)</f>
        <v/>
      </c>
      <c r="W45" s="15" t="str">
        <f aca="false">IF(V45="","",IF(V45&lt;=Faixa_1,1,IF(V45&lt;=Faixa_2,2,IF(V45&lt;=Faixa_3,3,IF(V45&lt;=Faixa_4,4,5)))))</f>
        <v/>
      </c>
      <c r="X45" s="16"/>
      <c r="Y45" s="16"/>
      <c r="Z45" s="16"/>
      <c r="AA45" s="16"/>
      <c r="AB45" s="16"/>
      <c r="AC45" s="16"/>
      <c r="AD45" s="16"/>
      <c r="AE45" s="16"/>
      <c r="AF45" s="15" t="str">
        <f aca="false">IF(AB45&lt;&gt;"",AB45,IF('MEUS PROCESSOS'!N45="Alto",Sug_Alto,IF('MEUS PROCESSOS'!N45="Médio",Sug_Medio,IF('MEUS PROCESSOS'!N45="Baixo",Sug_Baixo,""))))</f>
        <v/>
      </c>
      <c r="AG45" s="15" t="str">
        <f aca="false">IF(AC45&lt;&gt;"",AC45,IF('MEUS PROCESSOS'!O45="Alto",Sug_Alto,IF('MEUS PROCESSOS'!O45="Médio",Sug_Medio,IF('MEUS PROCESSOS'!O45="Baixo",Sug_Baixo,""))))</f>
        <v/>
      </c>
      <c r="AH45" s="15" t="str">
        <f aca="false">IF(B45="","",IF(AND(AB45&lt;&gt;"",AC45&lt;&gt;""),"Avaliado pela empresa",IF(AND(AB45="",AC45="",'MEUS PROCESSOS'!N45&lt;&gt;""),"Sugestão da biblioteca",IF('MEUS PROCESSOS'!N45&lt;&gt;"","Parcialmente sugerido",IF(AND(AB45="",AC45=""),"","Avaliado pela empresa")))))</f>
        <v/>
      </c>
      <c r="AI45" s="18" t="str">
        <f aca="false">IF(B45="","",IF(AND((COUNTBLANK(X45:AA45)+COUNTBLANK(AD45:AE45)+(AF45="")*1+(AG45="")*1)=0,W45&lt;&gt;""),"Completo","Incompleto — faltam "&amp;IF((COUNTBLANK(X45:AA45)+COUNTBLANK(AD45:AE45)+(AF45="")*1+(AG45="")*1)&gt;0,(COUNTBLANK(X45:AA45)+COUNTBLANK(AD45:AE45)+(AF45="")*1+(AG45="")*1)&amp;IF((COUNTBLANK(X45:AA45)+COUNTBLANK(AD45:AE45)+(AF45="")*1+(AG45="")*1)=1," avaliação"," avaliações"),"")&amp;IF(AND((COUNTBLANK(X45:AA45)+COUNTBLANK(AD45:AE45)+(AF45="")*1+(AG45="")*1)&gt;0,W45=""), " e ","")&amp;IF(W45="","os dados de custo","")))</f>
        <v/>
      </c>
      <c r="AJ45" s="29" t="str">
        <f aca="false">IF($AI45&lt;&gt;"Completo","",W_Custo*(W45-1)/4+W_Imp*(X45-1)/4)</f>
        <v/>
      </c>
      <c r="AK45" s="29" t="str">
        <f aca="false">IF($AI45&lt;&gt;"Completo","",W_Pot*(MAX(AF45,AG45)-1)/4+W_Rep*(Y45-1)/4+W_Pad*(Z45-1)/4+W_Vol*(AA45-1)/4)</f>
        <v/>
      </c>
      <c r="AL45" s="29" t="str">
        <f aca="false">IF($AI45&lt;&gt;"Completo","",(1-F_Pen*(AE45-1)/4)*(1-F_Pen*(AD45-1)/4))</f>
        <v/>
      </c>
      <c r="AM45" s="29" t="str">
        <f aca="false">IF($AI45&lt;&gt;"Completo","",SQRT(AK45*AL45))</f>
        <v/>
      </c>
      <c r="AN45" s="30" t="str">
        <f aca="false">IF($AI45&lt;&gt;"Completo","",100*AJ45^Exp_V*AM45^Exp_Vb)</f>
        <v/>
      </c>
      <c r="AO45" s="15" t="str">
        <f aca="false">IF(AN45="","",IF(AJ45&gt;=Corte,IF(AM45&gt;=Corte,"Fazer primeiro","Projeto estratégico"),IF(AM45&gt;=Corte,"Quick win","Evitar")))</f>
        <v/>
      </c>
      <c r="AP45" s="15" t="str">
        <f aca="false">IF(AN45="","",IF(OR(AD45&gt;=Trava_Nota,AE45&gt;=Trava_Nota),"SIM","—"))</f>
        <v/>
      </c>
      <c r="AQ45" s="15" t="str">
        <f aca="false">IF(AN45="","",IF(MAX(AF45,AG45)&lt;=Rota_Nota,"SIM","—"))</f>
        <v/>
      </c>
      <c r="AR45" s="15" t="str">
        <f aca="false">IF(AN45="","",IF(Z45&lt;=Rota_Nota,"SIM","—"))</f>
        <v/>
      </c>
      <c r="AS45" s="15" t="str">
        <f aca="false">IF(AN45="","",IF(AP45="SIM",IF(AJ45&gt;=Corte,"Projeto estratégico","Evitar"),AO45))</f>
        <v/>
      </c>
      <c r="AT45" s="15" t="str">
        <f aca="false">IF(AN45="","",IF(OR(AND(AJ45&gt;=Fr_Min,AJ45&lt;=Fr_Max),AND(AM45&gt;=Fr_Min,AM45&lt;=Fr_Max)),"Revisar",""))</f>
        <v/>
      </c>
      <c r="AU45" s="15" t="str">
        <f aca="false">IF(BE45="","",COUNTIF($BE$6:$BE$105,"&gt;"&amp;BE45)+1)</f>
        <v/>
      </c>
      <c r="AV45" s="16"/>
      <c r="AW45" s="15" t="str">
        <f aca="false">IF(B45="","",IF(AV45&lt;&gt;"",AV45,'MEUS PROCESSOS'!M45))</f>
        <v/>
      </c>
      <c r="AX45" s="23"/>
      <c r="AY45" s="31" t="str">
        <f aca="false">IF(AW45="","",IF(AX45&lt;&gt;"",AX45,IF(AW45="S",Red_S,IF(AW45="P",Red_P,IF(AW45="A",Red_A,IF(AW45="IA",Red_IA,""))))))</f>
        <v/>
      </c>
      <c r="AZ45" s="27" t="str">
        <f aca="false">IF(OR(V45="",AY45=""),"",(T45+U45)*AY45)</f>
        <v/>
      </c>
      <c r="BA45" s="27" t="str">
        <f aca="false">IF(OR(V45="",AY45=""),"",(R45+S45)*AY45)</f>
        <v/>
      </c>
      <c r="BB45" s="27" t="str">
        <f aca="false">IF(AZ45="","",AZ45+BA45)</f>
        <v/>
      </c>
      <c r="BC45" s="27" t="str">
        <f aca="false">IF(OR(P45="",AY45=""),"",(P45*(1+N(J45))+N(M45))*12*AY45)</f>
        <v/>
      </c>
      <c r="BD45" s="18" t="str">
        <f aca="false">IF(B45="","",IF(AND(AW45="E",AX45=""),"Eliminar: informe quanto do esforço atual deixa de existir (0% a 100%). Não há percentual inicial sugerido.",IF(AND(AX45="",AY45&lt;&gt;""),"Redução pela faixa inicial para simulação","")))</f>
        <v/>
      </c>
      <c r="BE45" s="19" t="str">
        <f aca="false">IF(AND(AN45&lt;&gt;"",D45=1),AN45+(1000-A45)/1000000,"")</f>
        <v/>
      </c>
    </row>
    <row r="46" customFormat="false" ht="15" hidden="false" customHeight="false" outlineLevel="0" collapsed="false">
      <c r="A46" s="15" t="n">
        <v>41</v>
      </c>
      <c r="B46" s="18" t="str">
        <f aca="false">IF('MEUS PROCESSOS'!J46="","",'MEUS PROCESSOS'!J46)</f>
        <v/>
      </c>
      <c r="C46" s="15" t="str">
        <f aca="false">IF('MEUS PROCESSOS'!K46="","",'MEUS PROCESSOS'!K46)</f>
        <v/>
      </c>
      <c r="D46" s="19" t="n">
        <f aca="false">'MEUS PROCESSOS'!Q46</f>
        <v>0</v>
      </c>
      <c r="E46" s="16"/>
      <c r="F46" s="16"/>
      <c r="G46" s="16"/>
      <c r="H46" s="16"/>
      <c r="I46" s="22"/>
      <c r="J46" s="23"/>
      <c r="K46" s="16"/>
      <c r="L46" s="24"/>
      <c r="M46" s="16"/>
      <c r="N46" s="24"/>
      <c r="O46" s="25" t="str">
        <f aca="false">IF(OR(E46="",F46=""),"",F46*IF(E46="Diária",Mult_Diaria,IF(E46="Semanal",Mult_Semanal,1)))</f>
        <v/>
      </c>
      <c r="P46" s="25" t="str">
        <f aca="false">IF(OR(O46="",G46="",H46=""),"",O46*G46/60*H46)</f>
        <v/>
      </c>
      <c r="Q46" s="26" t="str">
        <f aca="false">IF(I46&lt;&gt;"",I46,IF(Custo_Hora_Padrao&lt;&gt;"",Custo_Hora_Padrao,""))</f>
        <v/>
      </c>
      <c r="R46" s="27" t="str">
        <f aca="false">IF(OR(P46="",Q46=""),"",P46*Q46*12)</f>
        <v/>
      </c>
      <c r="S46" s="27" t="str">
        <f aca="false">IF(R46="","",R46*N(J46))</f>
        <v/>
      </c>
      <c r="T46" s="27" t="str">
        <f aca="false">IF(R46="","",N(K46)*N(L46)*12)</f>
        <v/>
      </c>
      <c r="U46" s="27" t="str">
        <f aca="false">IF(R46="","",(N(M46)*Q46*HE_Fator+N(N46))*12)</f>
        <v/>
      </c>
      <c r="V46" s="28" t="str">
        <f aca="false">IF(R46="","",R46+S46+T46+U46)</f>
        <v/>
      </c>
      <c r="W46" s="15" t="str">
        <f aca="false">IF(V46="","",IF(V46&lt;=Faixa_1,1,IF(V46&lt;=Faixa_2,2,IF(V46&lt;=Faixa_3,3,IF(V46&lt;=Faixa_4,4,5)))))</f>
        <v/>
      </c>
      <c r="X46" s="16"/>
      <c r="Y46" s="16"/>
      <c r="Z46" s="16"/>
      <c r="AA46" s="16"/>
      <c r="AB46" s="16"/>
      <c r="AC46" s="16"/>
      <c r="AD46" s="16"/>
      <c r="AE46" s="16"/>
      <c r="AF46" s="15" t="str">
        <f aca="false">IF(AB46&lt;&gt;"",AB46,IF('MEUS PROCESSOS'!N46="Alto",Sug_Alto,IF('MEUS PROCESSOS'!N46="Médio",Sug_Medio,IF('MEUS PROCESSOS'!N46="Baixo",Sug_Baixo,""))))</f>
        <v/>
      </c>
      <c r="AG46" s="15" t="str">
        <f aca="false">IF(AC46&lt;&gt;"",AC46,IF('MEUS PROCESSOS'!O46="Alto",Sug_Alto,IF('MEUS PROCESSOS'!O46="Médio",Sug_Medio,IF('MEUS PROCESSOS'!O46="Baixo",Sug_Baixo,""))))</f>
        <v/>
      </c>
      <c r="AH46" s="15" t="str">
        <f aca="false">IF(B46="","",IF(AND(AB46&lt;&gt;"",AC46&lt;&gt;""),"Avaliado pela empresa",IF(AND(AB46="",AC46="",'MEUS PROCESSOS'!N46&lt;&gt;""),"Sugestão da biblioteca",IF('MEUS PROCESSOS'!N46&lt;&gt;"","Parcialmente sugerido",IF(AND(AB46="",AC46=""),"","Avaliado pela empresa")))))</f>
        <v/>
      </c>
      <c r="AI46" s="18" t="str">
        <f aca="false">IF(B46="","",IF(AND((COUNTBLANK(X46:AA46)+COUNTBLANK(AD46:AE46)+(AF46="")*1+(AG46="")*1)=0,W46&lt;&gt;""),"Completo","Incompleto — faltam "&amp;IF((COUNTBLANK(X46:AA46)+COUNTBLANK(AD46:AE46)+(AF46="")*1+(AG46="")*1)&gt;0,(COUNTBLANK(X46:AA46)+COUNTBLANK(AD46:AE46)+(AF46="")*1+(AG46="")*1)&amp;IF((COUNTBLANK(X46:AA46)+COUNTBLANK(AD46:AE46)+(AF46="")*1+(AG46="")*1)=1," avaliação"," avaliações"),"")&amp;IF(AND((COUNTBLANK(X46:AA46)+COUNTBLANK(AD46:AE46)+(AF46="")*1+(AG46="")*1)&gt;0,W46=""), " e ","")&amp;IF(W46="","os dados de custo","")))</f>
        <v/>
      </c>
      <c r="AJ46" s="29" t="str">
        <f aca="false">IF($AI46&lt;&gt;"Completo","",W_Custo*(W46-1)/4+W_Imp*(X46-1)/4)</f>
        <v/>
      </c>
      <c r="AK46" s="29" t="str">
        <f aca="false">IF($AI46&lt;&gt;"Completo","",W_Pot*(MAX(AF46,AG46)-1)/4+W_Rep*(Y46-1)/4+W_Pad*(Z46-1)/4+W_Vol*(AA46-1)/4)</f>
        <v/>
      </c>
      <c r="AL46" s="29" t="str">
        <f aca="false">IF($AI46&lt;&gt;"Completo","",(1-F_Pen*(AE46-1)/4)*(1-F_Pen*(AD46-1)/4))</f>
        <v/>
      </c>
      <c r="AM46" s="29" t="str">
        <f aca="false">IF($AI46&lt;&gt;"Completo","",SQRT(AK46*AL46))</f>
        <v/>
      </c>
      <c r="AN46" s="30" t="str">
        <f aca="false">IF($AI46&lt;&gt;"Completo","",100*AJ46^Exp_V*AM46^Exp_Vb)</f>
        <v/>
      </c>
      <c r="AO46" s="15" t="str">
        <f aca="false">IF(AN46="","",IF(AJ46&gt;=Corte,IF(AM46&gt;=Corte,"Fazer primeiro","Projeto estratégico"),IF(AM46&gt;=Corte,"Quick win","Evitar")))</f>
        <v/>
      </c>
      <c r="AP46" s="15" t="str">
        <f aca="false">IF(AN46="","",IF(OR(AD46&gt;=Trava_Nota,AE46&gt;=Trava_Nota),"SIM","—"))</f>
        <v/>
      </c>
      <c r="AQ46" s="15" t="str">
        <f aca="false">IF(AN46="","",IF(MAX(AF46,AG46)&lt;=Rota_Nota,"SIM","—"))</f>
        <v/>
      </c>
      <c r="AR46" s="15" t="str">
        <f aca="false">IF(AN46="","",IF(Z46&lt;=Rota_Nota,"SIM","—"))</f>
        <v/>
      </c>
      <c r="AS46" s="15" t="str">
        <f aca="false">IF(AN46="","",IF(AP46="SIM",IF(AJ46&gt;=Corte,"Projeto estratégico","Evitar"),AO46))</f>
        <v/>
      </c>
      <c r="AT46" s="15" t="str">
        <f aca="false">IF(AN46="","",IF(OR(AND(AJ46&gt;=Fr_Min,AJ46&lt;=Fr_Max),AND(AM46&gt;=Fr_Min,AM46&lt;=Fr_Max)),"Revisar",""))</f>
        <v/>
      </c>
      <c r="AU46" s="15" t="str">
        <f aca="false">IF(BE46="","",COUNTIF($BE$6:$BE$105,"&gt;"&amp;BE46)+1)</f>
        <v/>
      </c>
      <c r="AV46" s="16"/>
      <c r="AW46" s="15" t="str">
        <f aca="false">IF(B46="","",IF(AV46&lt;&gt;"",AV46,'MEUS PROCESSOS'!M46))</f>
        <v/>
      </c>
      <c r="AX46" s="23"/>
      <c r="AY46" s="31" t="str">
        <f aca="false">IF(AW46="","",IF(AX46&lt;&gt;"",AX46,IF(AW46="S",Red_S,IF(AW46="P",Red_P,IF(AW46="A",Red_A,IF(AW46="IA",Red_IA,""))))))</f>
        <v/>
      </c>
      <c r="AZ46" s="27" t="str">
        <f aca="false">IF(OR(V46="",AY46=""),"",(T46+U46)*AY46)</f>
        <v/>
      </c>
      <c r="BA46" s="27" t="str">
        <f aca="false">IF(OR(V46="",AY46=""),"",(R46+S46)*AY46)</f>
        <v/>
      </c>
      <c r="BB46" s="27" t="str">
        <f aca="false">IF(AZ46="","",AZ46+BA46)</f>
        <v/>
      </c>
      <c r="BC46" s="27" t="str">
        <f aca="false">IF(OR(P46="",AY46=""),"",(P46*(1+N(J46))+N(M46))*12*AY46)</f>
        <v/>
      </c>
      <c r="BD46" s="18" t="str">
        <f aca="false">IF(B46="","",IF(AND(AW46="E",AX46=""),"Eliminar: informe quanto do esforço atual deixa de existir (0% a 100%). Não há percentual inicial sugerido.",IF(AND(AX46="",AY46&lt;&gt;""),"Redução pela faixa inicial para simulação","")))</f>
        <v/>
      </c>
      <c r="BE46" s="19" t="str">
        <f aca="false">IF(AND(AN46&lt;&gt;"",D46=1),AN46+(1000-A46)/1000000,"")</f>
        <v/>
      </c>
    </row>
    <row r="47" customFormat="false" ht="15" hidden="false" customHeight="false" outlineLevel="0" collapsed="false">
      <c r="A47" s="15" t="n">
        <v>42</v>
      </c>
      <c r="B47" s="18" t="str">
        <f aca="false">IF('MEUS PROCESSOS'!J47="","",'MEUS PROCESSOS'!J47)</f>
        <v/>
      </c>
      <c r="C47" s="15" t="str">
        <f aca="false">IF('MEUS PROCESSOS'!K47="","",'MEUS PROCESSOS'!K47)</f>
        <v/>
      </c>
      <c r="D47" s="19" t="n">
        <f aca="false">'MEUS PROCESSOS'!Q47</f>
        <v>0</v>
      </c>
      <c r="E47" s="16"/>
      <c r="F47" s="16"/>
      <c r="G47" s="16"/>
      <c r="H47" s="16"/>
      <c r="I47" s="22"/>
      <c r="J47" s="23"/>
      <c r="K47" s="16"/>
      <c r="L47" s="24"/>
      <c r="M47" s="16"/>
      <c r="N47" s="24"/>
      <c r="O47" s="25" t="str">
        <f aca="false">IF(OR(E47="",F47=""),"",F47*IF(E47="Diária",Mult_Diaria,IF(E47="Semanal",Mult_Semanal,1)))</f>
        <v/>
      </c>
      <c r="P47" s="25" t="str">
        <f aca="false">IF(OR(O47="",G47="",H47=""),"",O47*G47/60*H47)</f>
        <v/>
      </c>
      <c r="Q47" s="26" t="str">
        <f aca="false">IF(I47&lt;&gt;"",I47,IF(Custo_Hora_Padrao&lt;&gt;"",Custo_Hora_Padrao,""))</f>
        <v/>
      </c>
      <c r="R47" s="27" t="str">
        <f aca="false">IF(OR(P47="",Q47=""),"",P47*Q47*12)</f>
        <v/>
      </c>
      <c r="S47" s="27" t="str">
        <f aca="false">IF(R47="","",R47*N(J47))</f>
        <v/>
      </c>
      <c r="T47" s="27" t="str">
        <f aca="false">IF(R47="","",N(K47)*N(L47)*12)</f>
        <v/>
      </c>
      <c r="U47" s="27" t="str">
        <f aca="false">IF(R47="","",(N(M47)*Q47*HE_Fator+N(N47))*12)</f>
        <v/>
      </c>
      <c r="V47" s="28" t="str">
        <f aca="false">IF(R47="","",R47+S47+T47+U47)</f>
        <v/>
      </c>
      <c r="W47" s="15" t="str">
        <f aca="false">IF(V47="","",IF(V47&lt;=Faixa_1,1,IF(V47&lt;=Faixa_2,2,IF(V47&lt;=Faixa_3,3,IF(V47&lt;=Faixa_4,4,5)))))</f>
        <v/>
      </c>
      <c r="X47" s="16"/>
      <c r="Y47" s="16"/>
      <c r="Z47" s="16"/>
      <c r="AA47" s="16"/>
      <c r="AB47" s="16"/>
      <c r="AC47" s="16"/>
      <c r="AD47" s="16"/>
      <c r="AE47" s="16"/>
      <c r="AF47" s="15" t="str">
        <f aca="false">IF(AB47&lt;&gt;"",AB47,IF('MEUS PROCESSOS'!N47="Alto",Sug_Alto,IF('MEUS PROCESSOS'!N47="Médio",Sug_Medio,IF('MEUS PROCESSOS'!N47="Baixo",Sug_Baixo,""))))</f>
        <v/>
      </c>
      <c r="AG47" s="15" t="str">
        <f aca="false">IF(AC47&lt;&gt;"",AC47,IF('MEUS PROCESSOS'!O47="Alto",Sug_Alto,IF('MEUS PROCESSOS'!O47="Médio",Sug_Medio,IF('MEUS PROCESSOS'!O47="Baixo",Sug_Baixo,""))))</f>
        <v/>
      </c>
      <c r="AH47" s="15" t="str">
        <f aca="false">IF(B47="","",IF(AND(AB47&lt;&gt;"",AC47&lt;&gt;""),"Avaliado pela empresa",IF(AND(AB47="",AC47="",'MEUS PROCESSOS'!N47&lt;&gt;""),"Sugestão da biblioteca",IF('MEUS PROCESSOS'!N47&lt;&gt;"","Parcialmente sugerido",IF(AND(AB47="",AC47=""),"","Avaliado pela empresa")))))</f>
        <v/>
      </c>
      <c r="AI47" s="18" t="str">
        <f aca="false">IF(B47="","",IF(AND((COUNTBLANK(X47:AA47)+COUNTBLANK(AD47:AE47)+(AF47="")*1+(AG47="")*1)=0,W47&lt;&gt;""),"Completo","Incompleto — faltam "&amp;IF((COUNTBLANK(X47:AA47)+COUNTBLANK(AD47:AE47)+(AF47="")*1+(AG47="")*1)&gt;0,(COUNTBLANK(X47:AA47)+COUNTBLANK(AD47:AE47)+(AF47="")*1+(AG47="")*1)&amp;IF((COUNTBLANK(X47:AA47)+COUNTBLANK(AD47:AE47)+(AF47="")*1+(AG47="")*1)=1," avaliação"," avaliações"),"")&amp;IF(AND((COUNTBLANK(X47:AA47)+COUNTBLANK(AD47:AE47)+(AF47="")*1+(AG47="")*1)&gt;0,W47=""), " e ","")&amp;IF(W47="","os dados de custo","")))</f>
        <v/>
      </c>
      <c r="AJ47" s="29" t="str">
        <f aca="false">IF($AI47&lt;&gt;"Completo","",W_Custo*(W47-1)/4+W_Imp*(X47-1)/4)</f>
        <v/>
      </c>
      <c r="AK47" s="29" t="str">
        <f aca="false">IF($AI47&lt;&gt;"Completo","",W_Pot*(MAX(AF47,AG47)-1)/4+W_Rep*(Y47-1)/4+W_Pad*(Z47-1)/4+W_Vol*(AA47-1)/4)</f>
        <v/>
      </c>
      <c r="AL47" s="29" t="str">
        <f aca="false">IF($AI47&lt;&gt;"Completo","",(1-F_Pen*(AE47-1)/4)*(1-F_Pen*(AD47-1)/4))</f>
        <v/>
      </c>
      <c r="AM47" s="29" t="str">
        <f aca="false">IF($AI47&lt;&gt;"Completo","",SQRT(AK47*AL47))</f>
        <v/>
      </c>
      <c r="AN47" s="30" t="str">
        <f aca="false">IF($AI47&lt;&gt;"Completo","",100*AJ47^Exp_V*AM47^Exp_Vb)</f>
        <v/>
      </c>
      <c r="AO47" s="15" t="str">
        <f aca="false">IF(AN47="","",IF(AJ47&gt;=Corte,IF(AM47&gt;=Corte,"Fazer primeiro","Projeto estratégico"),IF(AM47&gt;=Corte,"Quick win","Evitar")))</f>
        <v/>
      </c>
      <c r="AP47" s="15" t="str">
        <f aca="false">IF(AN47="","",IF(OR(AD47&gt;=Trava_Nota,AE47&gt;=Trava_Nota),"SIM","—"))</f>
        <v/>
      </c>
      <c r="AQ47" s="15" t="str">
        <f aca="false">IF(AN47="","",IF(MAX(AF47,AG47)&lt;=Rota_Nota,"SIM","—"))</f>
        <v/>
      </c>
      <c r="AR47" s="15" t="str">
        <f aca="false">IF(AN47="","",IF(Z47&lt;=Rota_Nota,"SIM","—"))</f>
        <v/>
      </c>
      <c r="AS47" s="15" t="str">
        <f aca="false">IF(AN47="","",IF(AP47="SIM",IF(AJ47&gt;=Corte,"Projeto estratégico","Evitar"),AO47))</f>
        <v/>
      </c>
      <c r="AT47" s="15" t="str">
        <f aca="false">IF(AN47="","",IF(OR(AND(AJ47&gt;=Fr_Min,AJ47&lt;=Fr_Max),AND(AM47&gt;=Fr_Min,AM47&lt;=Fr_Max)),"Revisar",""))</f>
        <v/>
      </c>
      <c r="AU47" s="15" t="str">
        <f aca="false">IF(BE47="","",COUNTIF($BE$6:$BE$105,"&gt;"&amp;BE47)+1)</f>
        <v/>
      </c>
      <c r="AV47" s="16"/>
      <c r="AW47" s="15" t="str">
        <f aca="false">IF(B47="","",IF(AV47&lt;&gt;"",AV47,'MEUS PROCESSOS'!M47))</f>
        <v/>
      </c>
      <c r="AX47" s="23"/>
      <c r="AY47" s="31" t="str">
        <f aca="false">IF(AW47="","",IF(AX47&lt;&gt;"",AX47,IF(AW47="S",Red_S,IF(AW47="P",Red_P,IF(AW47="A",Red_A,IF(AW47="IA",Red_IA,""))))))</f>
        <v/>
      </c>
      <c r="AZ47" s="27" t="str">
        <f aca="false">IF(OR(V47="",AY47=""),"",(T47+U47)*AY47)</f>
        <v/>
      </c>
      <c r="BA47" s="27" t="str">
        <f aca="false">IF(OR(V47="",AY47=""),"",(R47+S47)*AY47)</f>
        <v/>
      </c>
      <c r="BB47" s="27" t="str">
        <f aca="false">IF(AZ47="","",AZ47+BA47)</f>
        <v/>
      </c>
      <c r="BC47" s="27" t="str">
        <f aca="false">IF(OR(P47="",AY47=""),"",(P47*(1+N(J47))+N(M47))*12*AY47)</f>
        <v/>
      </c>
      <c r="BD47" s="18" t="str">
        <f aca="false">IF(B47="","",IF(AND(AW47="E",AX47=""),"Eliminar: informe quanto do esforço atual deixa de existir (0% a 100%). Não há percentual inicial sugerido.",IF(AND(AX47="",AY47&lt;&gt;""),"Redução pela faixa inicial para simulação","")))</f>
        <v/>
      </c>
      <c r="BE47" s="19" t="str">
        <f aca="false">IF(AND(AN47&lt;&gt;"",D47=1),AN47+(1000-A47)/1000000,"")</f>
        <v/>
      </c>
    </row>
    <row r="48" customFormat="false" ht="15" hidden="false" customHeight="false" outlineLevel="0" collapsed="false">
      <c r="A48" s="15" t="n">
        <v>43</v>
      </c>
      <c r="B48" s="18" t="str">
        <f aca="false">IF('MEUS PROCESSOS'!J48="","",'MEUS PROCESSOS'!J48)</f>
        <v/>
      </c>
      <c r="C48" s="15" t="str">
        <f aca="false">IF('MEUS PROCESSOS'!K48="","",'MEUS PROCESSOS'!K48)</f>
        <v/>
      </c>
      <c r="D48" s="19" t="n">
        <f aca="false">'MEUS PROCESSOS'!Q48</f>
        <v>0</v>
      </c>
      <c r="E48" s="16"/>
      <c r="F48" s="16"/>
      <c r="G48" s="16"/>
      <c r="H48" s="16"/>
      <c r="I48" s="22"/>
      <c r="J48" s="23"/>
      <c r="K48" s="16"/>
      <c r="L48" s="24"/>
      <c r="M48" s="16"/>
      <c r="N48" s="24"/>
      <c r="O48" s="25" t="str">
        <f aca="false">IF(OR(E48="",F48=""),"",F48*IF(E48="Diária",Mult_Diaria,IF(E48="Semanal",Mult_Semanal,1)))</f>
        <v/>
      </c>
      <c r="P48" s="25" t="str">
        <f aca="false">IF(OR(O48="",G48="",H48=""),"",O48*G48/60*H48)</f>
        <v/>
      </c>
      <c r="Q48" s="26" t="str">
        <f aca="false">IF(I48&lt;&gt;"",I48,IF(Custo_Hora_Padrao&lt;&gt;"",Custo_Hora_Padrao,""))</f>
        <v/>
      </c>
      <c r="R48" s="27" t="str">
        <f aca="false">IF(OR(P48="",Q48=""),"",P48*Q48*12)</f>
        <v/>
      </c>
      <c r="S48" s="27" t="str">
        <f aca="false">IF(R48="","",R48*N(J48))</f>
        <v/>
      </c>
      <c r="T48" s="27" t="str">
        <f aca="false">IF(R48="","",N(K48)*N(L48)*12)</f>
        <v/>
      </c>
      <c r="U48" s="27" t="str">
        <f aca="false">IF(R48="","",(N(M48)*Q48*HE_Fator+N(N48))*12)</f>
        <v/>
      </c>
      <c r="V48" s="28" t="str">
        <f aca="false">IF(R48="","",R48+S48+T48+U48)</f>
        <v/>
      </c>
      <c r="W48" s="15" t="str">
        <f aca="false">IF(V48="","",IF(V48&lt;=Faixa_1,1,IF(V48&lt;=Faixa_2,2,IF(V48&lt;=Faixa_3,3,IF(V48&lt;=Faixa_4,4,5)))))</f>
        <v/>
      </c>
      <c r="X48" s="16"/>
      <c r="Y48" s="16"/>
      <c r="Z48" s="16"/>
      <c r="AA48" s="16"/>
      <c r="AB48" s="16"/>
      <c r="AC48" s="16"/>
      <c r="AD48" s="16"/>
      <c r="AE48" s="16"/>
      <c r="AF48" s="15" t="str">
        <f aca="false">IF(AB48&lt;&gt;"",AB48,IF('MEUS PROCESSOS'!N48="Alto",Sug_Alto,IF('MEUS PROCESSOS'!N48="Médio",Sug_Medio,IF('MEUS PROCESSOS'!N48="Baixo",Sug_Baixo,""))))</f>
        <v/>
      </c>
      <c r="AG48" s="15" t="str">
        <f aca="false">IF(AC48&lt;&gt;"",AC48,IF('MEUS PROCESSOS'!O48="Alto",Sug_Alto,IF('MEUS PROCESSOS'!O48="Médio",Sug_Medio,IF('MEUS PROCESSOS'!O48="Baixo",Sug_Baixo,""))))</f>
        <v/>
      </c>
      <c r="AH48" s="15" t="str">
        <f aca="false">IF(B48="","",IF(AND(AB48&lt;&gt;"",AC48&lt;&gt;""),"Avaliado pela empresa",IF(AND(AB48="",AC48="",'MEUS PROCESSOS'!N48&lt;&gt;""),"Sugestão da biblioteca",IF('MEUS PROCESSOS'!N48&lt;&gt;"","Parcialmente sugerido",IF(AND(AB48="",AC48=""),"","Avaliado pela empresa")))))</f>
        <v/>
      </c>
      <c r="AI48" s="18" t="str">
        <f aca="false">IF(B48="","",IF(AND((COUNTBLANK(X48:AA48)+COUNTBLANK(AD48:AE48)+(AF48="")*1+(AG48="")*1)=0,W48&lt;&gt;""),"Completo","Incompleto — faltam "&amp;IF((COUNTBLANK(X48:AA48)+COUNTBLANK(AD48:AE48)+(AF48="")*1+(AG48="")*1)&gt;0,(COUNTBLANK(X48:AA48)+COUNTBLANK(AD48:AE48)+(AF48="")*1+(AG48="")*1)&amp;IF((COUNTBLANK(X48:AA48)+COUNTBLANK(AD48:AE48)+(AF48="")*1+(AG48="")*1)=1," avaliação"," avaliações"),"")&amp;IF(AND((COUNTBLANK(X48:AA48)+COUNTBLANK(AD48:AE48)+(AF48="")*1+(AG48="")*1)&gt;0,W48=""), " e ","")&amp;IF(W48="","os dados de custo","")))</f>
        <v/>
      </c>
      <c r="AJ48" s="29" t="str">
        <f aca="false">IF($AI48&lt;&gt;"Completo","",W_Custo*(W48-1)/4+W_Imp*(X48-1)/4)</f>
        <v/>
      </c>
      <c r="AK48" s="29" t="str">
        <f aca="false">IF($AI48&lt;&gt;"Completo","",W_Pot*(MAX(AF48,AG48)-1)/4+W_Rep*(Y48-1)/4+W_Pad*(Z48-1)/4+W_Vol*(AA48-1)/4)</f>
        <v/>
      </c>
      <c r="AL48" s="29" t="str">
        <f aca="false">IF($AI48&lt;&gt;"Completo","",(1-F_Pen*(AE48-1)/4)*(1-F_Pen*(AD48-1)/4))</f>
        <v/>
      </c>
      <c r="AM48" s="29" t="str">
        <f aca="false">IF($AI48&lt;&gt;"Completo","",SQRT(AK48*AL48))</f>
        <v/>
      </c>
      <c r="AN48" s="30" t="str">
        <f aca="false">IF($AI48&lt;&gt;"Completo","",100*AJ48^Exp_V*AM48^Exp_Vb)</f>
        <v/>
      </c>
      <c r="AO48" s="15" t="str">
        <f aca="false">IF(AN48="","",IF(AJ48&gt;=Corte,IF(AM48&gt;=Corte,"Fazer primeiro","Projeto estratégico"),IF(AM48&gt;=Corte,"Quick win","Evitar")))</f>
        <v/>
      </c>
      <c r="AP48" s="15" t="str">
        <f aca="false">IF(AN48="","",IF(OR(AD48&gt;=Trava_Nota,AE48&gt;=Trava_Nota),"SIM","—"))</f>
        <v/>
      </c>
      <c r="AQ48" s="15" t="str">
        <f aca="false">IF(AN48="","",IF(MAX(AF48,AG48)&lt;=Rota_Nota,"SIM","—"))</f>
        <v/>
      </c>
      <c r="AR48" s="15" t="str">
        <f aca="false">IF(AN48="","",IF(Z48&lt;=Rota_Nota,"SIM","—"))</f>
        <v/>
      </c>
      <c r="AS48" s="15" t="str">
        <f aca="false">IF(AN48="","",IF(AP48="SIM",IF(AJ48&gt;=Corte,"Projeto estratégico","Evitar"),AO48))</f>
        <v/>
      </c>
      <c r="AT48" s="15" t="str">
        <f aca="false">IF(AN48="","",IF(OR(AND(AJ48&gt;=Fr_Min,AJ48&lt;=Fr_Max),AND(AM48&gt;=Fr_Min,AM48&lt;=Fr_Max)),"Revisar",""))</f>
        <v/>
      </c>
      <c r="AU48" s="15" t="str">
        <f aca="false">IF(BE48="","",COUNTIF($BE$6:$BE$105,"&gt;"&amp;BE48)+1)</f>
        <v/>
      </c>
      <c r="AV48" s="16"/>
      <c r="AW48" s="15" t="str">
        <f aca="false">IF(B48="","",IF(AV48&lt;&gt;"",AV48,'MEUS PROCESSOS'!M48))</f>
        <v/>
      </c>
      <c r="AX48" s="23"/>
      <c r="AY48" s="31" t="str">
        <f aca="false">IF(AW48="","",IF(AX48&lt;&gt;"",AX48,IF(AW48="S",Red_S,IF(AW48="P",Red_P,IF(AW48="A",Red_A,IF(AW48="IA",Red_IA,""))))))</f>
        <v/>
      </c>
      <c r="AZ48" s="27" t="str">
        <f aca="false">IF(OR(V48="",AY48=""),"",(T48+U48)*AY48)</f>
        <v/>
      </c>
      <c r="BA48" s="27" t="str">
        <f aca="false">IF(OR(V48="",AY48=""),"",(R48+S48)*AY48)</f>
        <v/>
      </c>
      <c r="BB48" s="27" t="str">
        <f aca="false">IF(AZ48="","",AZ48+BA48)</f>
        <v/>
      </c>
      <c r="BC48" s="27" t="str">
        <f aca="false">IF(OR(P48="",AY48=""),"",(P48*(1+N(J48))+N(M48))*12*AY48)</f>
        <v/>
      </c>
      <c r="BD48" s="18" t="str">
        <f aca="false">IF(B48="","",IF(AND(AW48="E",AX48=""),"Eliminar: informe quanto do esforço atual deixa de existir (0% a 100%). Não há percentual inicial sugerido.",IF(AND(AX48="",AY48&lt;&gt;""),"Redução pela faixa inicial para simulação","")))</f>
        <v/>
      </c>
      <c r="BE48" s="19" t="str">
        <f aca="false">IF(AND(AN48&lt;&gt;"",D48=1),AN48+(1000-A48)/1000000,"")</f>
        <v/>
      </c>
    </row>
    <row r="49" customFormat="false" ht="15" hidden="false" customHeight="false" outlineLevel="0" collapsed="false">
      <c r="A49" s="15" t="n">
        <v>44</v>
      </c>
      <c r="B49" s="18" t="str">
        <f aca="false">IF('MEUS PROCESSOS'!J49="","",'MEUS PROCESSOS'!J49)</f>
        <v/>
      </c>
      <c r="C49" s="15" t="str">
        <f aca="false">IF('MEUS PROCESSOS'!K49="","",'MEUS PROCESSOS'!K49)</f>
        <v/>
      </c>
      <c r="D49" s="19" t="n">
        <f aca="false">'MEUS PROCESSOS'!Q49</f>
        <v>0</v>
      </c>
      <c r="E49" s="16"/>
      <c r="F49" s="16"/>
      <c r="G49" s="16"/>
      <c r="H49" s="16"/>
      <c r="I49" s="22"/>
      <c r="J49" s="23"/>
      <c r="K49" s="16"/>
      <c r="L49" s="24"/>
      <c r="M49" s="16"/>
      <c r="N49" s="24"/>
      <c r="O49" s="25" t="str">
        <f aca="false">IF(OR(E49="",F49=""),"",F49*IF(E49="Diária",Mult_Diaria,IF(E49="Semanal",Mult_Semanal,1)))</f>
        <v/>
      </c>
      <c r="P49" s="25" t="str">
        <f aca="false">IF(OR(O49="",G49="",H49=""),"",O49*G49/60*H49)</f>
        <v/>
      </c>
      <c r="Q49" s="26" t="str">
        <f aca="false">IF(I49&lt;&gt;"",I49,IF(Custo_Hora_Padrao&lt;&gt;"",Custo_Hora_Padrao,""))</f>
        <v/>
      </c>
      <c r="R49" s="27" t="str">
        <f aca="false">IF(OR(P49="",Q49=""),"",P49*Q49*12)</f>
        <v/>
      </c>
      <c r="S49" s="27" t="str">
        <f aca="false">IF(R49="","",R49*N(J49))</f>
        <v/>
      </c>
      <c r="T49" s="27" t="str">
        <f aca="false">IF(R49="","",N(K49)*N(L49)*12)</f>
        <v/>
      </c>
      <c r="U49" s="27" t="str">
        <f aca="false">IF(R49="","",(N(M49)*Q49*HE_Fator+N(N49))*12)</f>
        <v/>
      </c>
      <c r="V49" s="28" t="str">
        <f aca="false">IF(R49="","",R49+S49+T49+U49)</f>
        <v/>
      </c>
      <c r="W49" s="15" t="str">
        <f aca="false">IF(V49="","",IF(V49&lt;=Faixa_1,1,IF(V49&lt;=Faixa_2,2,IF(V49&lt;=Faixa_3,3,IF(V49&lt;=Faixa_4,4,5)))))</f>
        <v/>
      </c>
      <c r="X49" s="16"/>
      <c r="Y49" s="16"/>
      <c r="Z49" s="16"/>
      <c r="AA49" s="16"/>
      <c r="AB49" s="16"/>
      <c r="AC49" s="16"/>
      <c r="AD49" s="16"/>
      <c r="AE49" s="16"/>
      <c r="AF49" s="15" t="str">
        <f aca="false">IF(AB49&lt;&gt;"",AB49,IF('MEUS PROCESSOS'!N49="Alto",Sug_Alto,IF('MEUS PROCESSOS'!N49="Médio",Sug_Medio,IF('MEUS PROCESSOS'!N49="Baixo",Sug_Baixo,""))))</f>
        <v/>
      </c>
      <c r="AG49" s="15" t="str">
        <f aca="false">IF(AC49&lt;&gt;"",AC49,IF('MEUS PROCESSOS'!O49="Alto",Sug_Alto,IF('MEUS PROCESSOS'!O49="Médio",Sug_Medio,IF('MEUS PROCESSOS'!O49="Baixo",Sug_Baixo,""))))</f>
        <v/>
      </c>
      <c r="AH49" s="15" t="str">
        <f aca="false">IF(B49="","",IF(AND(AB49&lt;&gt;"",AC49&lt;&gt;""),"Avaliado pela empresa",IF(AND(AB49="",AC49="",'MEUS PROCESSOS'!N49&lt;&gt;""),"Sugestão da biblioteca",IF('MEUS PROCESSOS'!N49&lt;&gt;"","Parcialmente sugerido",IF(AND(AB49="",AC49=""),"","Avaliado pela empresa")))))</f>
        <v/>
      </c>
      <c r="AI49" s="18" t="str">
        <f aca="false">IF(B49="","",IF(AND((COUNTBLANK(X49:AA49)+COUNTBLANK(AD49:AE49)+(AF49="")*1+(AG49="")*1)=0,W49&lt;&gt;""),"Completo","Incompleto — faltam "&amp;IF((COUNTBLANK(X49:AA49)+COUNTBLANK(AD49:AE49)+(AF49="")*1+(AG49="")*1)&gt;0,(COUNTBLANK(X49:AA49)+COUNTBLANK(AD49:AE49)+(AF49="")*1+(AG49="")*1)&amp;IF((COUNTBLANK(X49:AA49)+COUNTBLANK(AD49:AE49)+(AF49="")*1+(AG49="")*1)=1," avaliação"," avaliações"),"")&amp;IF(AND((COUNTBLANK(X49:AA49)+COUNTBLANK(AD49:AE49)+(AF49="")*1+(AG49="")*1)&gt;0,W49=""), " e ","")&amp;IF(W49="","os dados de custo","")))</f>
        <v/>
      </c>
      <c r="AJ49" s="29" t="str">
        <f aca="false">IF($AI49&lt;&gt;"Completo","",W_Custo*(W49-1)/4+W_Imp*(X49-1)/4)</f>
        <v/>
      </c>
      <c r="AK49" s="29" t="str">
        <f aca="false">IF($AI49&lt;&gt;"Completo","",W_Pot*(MAX(AF49,AG49)-1)/4+W_Rep*(Y49-1)/4+W_Pad*(Z49-1)/4+W_Vol*(AA49-1)/4)</f>
        <v/>
      </c>
      <c r="AL49" s="29" t="str">
        <f aca="false">IF($AI49&lt;&gt;"Completo","",(1-F_Pen*(AE49-1)/4)*(1-F_Pen*(AD49-1)/4))</f>
        <v/>
      </c>
      <c r="AM49" s="29" t="str">
        <f aca="false">IF($AI49&lt;&gt;"Completo","",SQRT(AK49*AL49))</f>
        <v/>
      </c>
      <c r="AN49" s="30" t="str">
        <f aca="false">IF($AI49&lt;&gt;"Completo","",100*AJ49^Exp_V*AM49^Exp_Vb)</f>
        <v/>
      </c>
      <c r="AO49" s="15" t="str">
        <f aca="false">IF(AN49="","",IF(AJ49&gt;=Corte,IF(AM49&gt;=Corte,"Fazer primeiro","Projeto estratégico"),IF(AM49&gt;=Corte,"Quick win","Evitar")))</f>
        <v/>
      </c>
      <c r="AP49" s="15" t="str">
        <f aca="false">IF(AN49="","",IF(OR(AD49&gt;=Trava_Nota,AE49&gt;=Trava_Nota),"SIM","—"))</f>
        <v/>
      </c>
      <c r="AQ49" s="15" t="str">
        <f aca="false">IF(AN49="","",IF(MAX(AF49,AG49)&lt;=Rota_Nota,"SIM","—"))</f>
        <v/>
      </c>
      <c r="AR49" s="15" t="str">
        <f aca="false">IF(AN49="","",IF(Z49&lt;=Rota_Nota,"SIM","—"))</f>
        <v/>
      </c>
      <c r="AS49" s="15" t="str">
        <f aca="false">IF(AN49="","",IF(AP49="SIM",IF(AJ49&gt;=Corte,"Projeto estratégico","Evitar"),AO49))</f>
        <v/>
      </c>
      <c r="AT49" s="15" t="str">
        <f aca="false">IF(AN49="","",IF(OR(AND(AJ49&gt;=Fr_Min,AJ49&lt;=Fr_Max),AND(AM49&gt;=Fr_Min,AM49&lt;=Fr_Max)),"Revisar",""))</f>
        <v/>
      </c>
      <c r="AU49" s="15" t="str">
        <f aca="false">IF(BE49="","",COUNTIF($BE$6:$BE$105,"&gt;"&amp;BE49)+1)</f>
        <v/>
      </c>
      <c r="AV49" s="16"/>
      <c r="AW49" s="15" t="str">
        <f aca="false">IF(B49="","",IF(AV49&lt;&gt;"",AV49,'MEUS PROCESSOS'!M49))</f>
        <v/>
      </c>
      <c r="AX49" s="23"/>
      <c r="AY49" s="31" t="str">
        <f aca="false">IF(AW49="","",IF(AX49&lt;&gt;"",AX49,IF(AW49="S",Red_S,IF(AW49="P",Red_P,IF(AW49="A",Red_A,IF(AW49="IA",Red_IA,""))))))</f>
        <v/>
      </c>
      <c r="AZ49" s="27" t="str">
        <f aca="false">IF(OR(V49="",AY49=""),"",(T49+U49)*AY49)</f>
        <v/>
      </c>
      <c r="BA49" s="27" t="str">
        <f aca="false">IF(OR(V49="",AY49=""),"",(R49+S49)*AY49)</f>
        <v/>
      </c>
      <c r="BB49" s="27" t="str">
        <f aca="false">IF(AZ49="","",AZ49+BA49)</f>
        <v/>
      </c>
      <c r="BC49" s="27" t="str">
        <f aca="false">IF(OR(P49="",AY49=""),"",(P49*(1+N(J49))+N(M49))*12*AY49)</f>
        <v/>
      </c>
      <c r="BD49" s="18" t="str">
        <f aca="false">IF(B49="","",IF(AND(AW49="E",AX49=""),"Eliminar: informe quanto do esforço atual deixa de existir (0% a 100%). Não há percentual inicial sugerido.",IF(AND(AX49="",AY49&lt;&gt;""),"Redução pela faixa inicial para simulação","")))</f>
        <v/>
      </c>
      <c r="BE49" s="19" t="str">
        <f aca="false">IF(AND(AN49&lt;&gt;"",D49=1),AN49+(1000-A49)/1000000,"")</f>
        <v/>
      </c>
    </row>
    <row r="50" customFormat="false" ht="15" hidden="false" customHeight="false" outlineLevel="0" collapsed="false">
      <c r="A50" s="15" t="n">
        <v>45</v>
      </c>
      <c r="B50" s="18" t="str">
        <f aca="false">IF('MEUS PROCESSOS'!J50="","",'MEUS PROCESSOS'!J50)</f>
        <v/>
      </c>
      <c r="C50" s="15" t="str">
        <f aca="false">IF('MEUS PROCESSOS'!K50="","",'MEUS PROCESSOS'!K50)</f>
        <v/>
      </c>
      <c r="D50" s="19" t="n">
        <f aca="false">'MEUS PROCESSOS'!Q50</f>
        <v>0</v>
      </c>
      <c r="E50" s="16"/>
      <c r="F50" s="16"/>
      <c r="G50" s="16"/>
      <c r="H50" s="16"/>
      <c r="I50" s="22"/>
      <c r="J50" s="23"/>
      <c r="K50" s="16"/>
      <c r="L50" s="24"/>
      <c r="M50" s="16"/>
      <c r="N50" s="24"/>
      <c r="O50" s="25" t="str">
        <f aca="false">IF(OR(E50="",F50=""),"",F50*IF(E50="Diária",Mult_Diaria,IF(E50="Semanal",Mult_Semanal,1)))</f>
        <v/>
      </c>
      <c r="P50" s="25" t="str">
        <f aca="false">IF(OR(O50="",G50="",H50=""),"",O50*G50/60*H50)</f>
        <v/>
      </c>
      <c r="Q50" s="26" t="str">
        <f aca="false">IF(I50&lt;&gt;"",I50,IF(Custo_Hora_Padrao&lt;&gt;"",Custo_Hora_Padrao,""))</f>
        <v/>
      </c>
      <c r="R50" s="27" t="str">
        <f aca="false">IF(OR(P50="",Q50=""),"",P50*Q50*12)</f>
        <v/>
      </c>
      <c r="S50" s="27" t="str">
        <f aca="false">IF(R50="","",R50*N(J50))</f>
        <v/>
      </c>
      <c r="T50" s="27" t="str">
        <f aca="false">IF(R50="","",N(K50)*N(L50)*12)</f>
        <v/>
      </c>
      <c r="U50" s="27" t="str">
        <f aca="false">IF(R50="","",(N(M50)*Q50*HE_Fator+N(N50))*12)</f>
        <v/>
      </c>
      <c r="V50" s="28" t="str">
        <f aca="false">IF(R50="","",R50+S50+T50+U50)</f>
        <v/>
      </c>
      <c r="W50" s="15" t="str">
        <f aca="false">IF(V50="","",IF(V50&lt;=Faixa_1,1,IF(V50&lt;=Faixa_2,2,IF(V50&lt;=Faixa_3,3,IF(V50&lt;=Faixa_4,4,5)))))</f>
        <v/>
      </c>
      <c r="X50" s="16"/>
      <c r="Y50" s="16"/>
      <c r="Z50" s="16"/>
      <c r="AA50" s="16"/>
      <c r="AB50" s="16"/>
      <c r="AC50" s="16"/>
      <c r="AD50" s="16"/>
      <c r="AE50" s="16"/>
      <c r="AF50" s="15" t="str">
        <f aca="false">IF(AB50&lt;&gt;"",AB50,IF('MEUS PROCESSOS'!N50="Alto",Sug_Alto,IF('MEUS PROCESSOS'!N50="Médio",Sug_Medio,IF('MEUS PROCESSOS'!N50="Baixo",Sug_Baixo,""))))</f>
        <v/>
      </c>
      <c r="AG50" s="15" t="str">
        <f aca="false">IF(AC50&lt;&gt;"",AC50,IF('MEUS PROCESSOS'!O50="Alto",Sug_Alto,IF('MEUS PROCESSOS'!O50="Médio",Sug_Medio,IF('MEUS PROCESSOS'!O50="Baixo",Sug_Baixo,""))))</f>
        <v/>
      </c>
      <c r="AH50" s="15" t="str">
        <f aca="false">IF(B50="","",IF(AND(AB50&lt;&gt;"",AC50&lt;&gt;""),"Avaliado pela empresa",IF(AND(AB50="",AC50="",'MEUS PROCESSOS'!N50&lt;&gt;""),"Sugestão da biblioteca",IF('MEUS PROCESSOS'!N50&lt;&gt;"","Parcialmente sugerido",IF(AND(AB50="",AC50=""),"","Avaliado pela empresa")))))</f>
        <v/>
      </c>
      <c r="AI50" s="18" t="str">
        <f aca="false">IF(B50="","",IF(AND((COUNTBLANK(X50:AA50)+COUNTBLANK(AD50:AE50)+(AF50="")*1+(AG50="")*1)=0,W50&lt;&gt;""),"Completo","Incompleto — faltam "&amp;IF((COUNTBLANK(X50:AA50)+COUNTBLANK(AD50:AE50)+(AF50="")*1+(AG50="")*1)&gt;0,(COUNTBLANK(X50:AA50)+COUNTBLANK(AD50:AE50)+(AF50="")*1+(AG50="")*1)&amp;IF((COUNTBLANK(X50:AA50)+COUNTBLANK(AD50:AE50)+(AF50="")*1+(AG50="")*1)=1," avaliação"," avaliações"),"")&amp;IF(AND((COUNTBLANK(X50:AA50)+COUNTBLANK(AD50:AE50)+(AF50="")*1+(AG50="")*1)&gt;0,W50=""), " e ","")&amp;IF(W50="","os dados de custo","")))</f>
        <v/>
      </c>
      <c r="AJ50" s="29" t="str">
        <f aca="false">IF($AI50&lt;&gt;"Completo","",W_Custo*(W50-1)/4+W_Imp*(X50-1)/4)</f>
        <v/>
      </c>
      <c r="AK50" s="29" t="str">
        <f aca="false">IF($AI50&lt;&gt;"Completo","",W_Pot*(MAX(AF50,AG50)-1)/4+W_Rep*(Y50-1)/4+W_Pad*(Z50-1)/4+W_Vol*(AA50-1)/4)</f>
        <v/>
      </c>
      <c r="AL50" s="29" t="str">
        <f aca="false">IF($AI50&lt;&gt;"Completo","",(1-F_Pen*(AE50-1)/4)*(1-F_Pen*(AD50-1)/4))</f>
        <v/>
      </c>
      <c r="AM50" s="29" t="str">
        <f aca="false">IF($AI50&lt;&gt;"Completo","",SQRT(AK50*AL50))</f>
        <v/>
      </c>
      <c r="AN50" s="30" t="str">
        <f aca="false">IF($AI50&lt;&gt;"Completo","",100*AJ50^Exp_V*AM50^Exp_Vb)</f>
        <v/>
      </c>
      <c r="AO50" s="15" t="str">
        <f aca="false">IF(AN50="","",IF(AJ50&gt;=Corte,IF(AM50&gt;=Corte,"Fazer primeiro","Projeto estratégico"),IF(AM50&gt;=Corte,"Quick win","Evitar")))</f>
        <v/>
      </c>
      <c r="AP50" s="15" t="str">
        <f aca="false">IF(AN50="","",IF(OR(AD50&gt;=Trava_Nota,AE50&gt;=Trava_Nota),"SIM","—"))</f>
        <v/>
      </c>
      <c r="AQ50" s="15" t="str">
        <f aca="false">IF(AN50="","",IF(MAX(AF50,AG50)&lt;=Rota_Nota,"SIM","—"))</f>
        <v/>
      </c>
      <c r="AR50" s="15" t="str">
        <f aca="false">IF(AN50="","",IF(Z50&lt;=Rota_Nota,"SIM","—"))</f>
        <v/>
      </c>
      <c r="AS50" s="15" t="str">
        <f aca="false">IF(AN50="","",IF(AP50="SIM",IF(AJ50&gt;=Corte,"Projeto estratégico","Evitar"),AO50))</f>
        <v/>
      </c>
      <c r="AT50" s="15" t="str">
        <f aca="false">IF(AN50="","",IF(OR(AND(AJ50&gt;=Fr_Min,AJ50&lt;=Fr_Max),AND(AM50&gt;=Fr_Min,AM50&lt;=Fr_Max)),"Revisar",""))</f>
        <v/>
      </c>
      <c r="AU50" s="15" t="str">
        <f aca="false">IF(BE50="","",COUNTIF($BE$6:$BE$105,"&gt;"&amp;BE50)+1)</f>
        <v/>
      </c>
      <c r="AV50" s="16"/>
      <c r="AW50" s="15" t="str">
        <f aca="false">IF(B50="","",IF(AV50&lt;&gt;"",AV50,'MEUS PROCESSOS'!M50))</f>
        <v/>
      </c>
      <c r="AX50" s="23"/>
      <c r="AY50" s="31" t="str">
        <f aca="false">IF(AW50="","",IF(AX50&lt;&gt;"",AX50,IF(AW50="S",Red_S,IF(AW50="P",Red_P,IF(AW50="A",Red_A,IF(AW50="IA",Red_IA,""))))))</f>
        <v/>
      </c>
      <c r="AZ50" s="27" t="str">
        <f aca="false">IF(OR(V50="",AY50=""),"",(T50+U50)*AY50)</f>
        <v/>
      </c>
      <c r="BA50" s="27" t="str">
        <f aca="false">IF(OR(V50="",AY50=""),"",(R50+S50)*AY50)</f>
        <v/>
      </c>
      <c r="BB50" s="27" t="str">
        <f aca="false">IF(AZ50="","",AZ50+BA50)</f>
        <v/>
      </c>
      <c r="BC50" s="27" t="str">
        <f aca="false">IF(OR(P50="",AY50=""),"",(P50*(1+N(J50))+N(M50))*12*AY50)</f>
        <v/>
      </c>
      <c r="BD50" s="18" t="str">
        <f aca="false">IF(B50="","",IF(AND(AW50="E",AX50=""),"Eliminar: informe quanto do esforço atual deixa de existir (0% a 100%). Não há percentual inicial sugerido.",IF(AND(AX50="",AY50&lt;&gt;""),"Redução pela faixa inicial para simulação","")))</f>
        <v/>
      </c>
      <c r="BE50" s="19" t="str">
        <f aca="false">IF(AND(AN50&lt;&gt;"",D50=1),AN50+(1000-A50)/1000000,"")</f>
        <v/>
      </c>
    </row>
    <row r="51" customFormat="false" ht="15" hidden="false" customHeight="false" outlineLevel="0" collapsed="false">
      <c r="A51" s="15" t="n">
        <v>46</v>
      </c>
      <c r="B51" s="18" t="str">
        <f aca="false">IF('MEUS PROCESSOS'!J51="","",'MEUS PROCESSOS'!J51)</f>
        <v/>
      </c>
      <c r="C51" s="15" t="str">
        <f aca="false">IF('MEUS PROCESSOS'!K51="","",'MEUS PROCESSOS'!K51)</f>
        <v/>
      </c>
      <c r="D51" s="19" t="n">
        <f aca="false">'MEUS PROCESSOS'!Q51</f>
        <v>0</v>
      </c>
      <c r="E51" s="16"/>
      <c r="F51" s="16"/>
      <c r="G51" s="16"/>
      <c r="H51" s="16"/>
      <c r="I51" s="22"/>
      <c r="J51" s="23"/>
      <c r="K51" s="16"/>
      <c r="L51" s="24"/>
      <c r="M51" s="16"/>
      <c r="N51" s="24"/>
      <c r="O51" s="25" t="str">
        <f aca="false">IF(OR(E51="",F51=""),"",F51*IF(E51="Diária",Mult_Diaria,IF(E51="Semanal",Mult_Semanal,1)))</f>
        <v/>
      </c>
      <c r="P51" s="25" t="str">
        <f aca="false">IF(OR(O51="",G51="",H51=""),"",O51*G51/60*H51)</f>
        <v/>
      </c>
      <c r="Q51" s="26" t="str">
        <f aca="false">IF(I51&lt;&gt;"",I51,IF(Custo_Hora_Padrao&lt;&gt;"",Custo_Hora_Padrao,""))</f>
        <v/>
      </c>
      <c r="R51" s="27" t="str">
        <f aca="false">IF(OR(P51="",Q51=""),"",P51*Q51*12)</f>
        <v/>
      </c>
      <c r="S51" s="27" t="str">
        <f aca="false">IF(R51="","",R51*N(J51))</f>
        <v/>
      </c>
      <c r="T51" s="27" t="str">
        <f aca="false">IF(R51="","",N(K51)*N(L51)*12)</f>
        <v/>
      </c>
      <c r="U51" s="27" t="str">
        <f aca="false">IF(R51="","",(N(M51)*Q51*HE_Fator+N(N51))*12)</f>
        <v/>
      </c>
      <c r="V51" s="28" t="str">
        <f aca="false">IF(R51="","",R51+S51+T51+U51)</f>
        <v/>
      </c>
      <c r="W51" s="15" t="str">
        <f aca="false">IF(V51="","",IF(V51&lt;=Faixa_1,1,IF(V51&lt;=Faixa_2,2,IF(V51&lt;=Faixa_3,3,IF(V51&lt;=Faixa_4,4,5)))))</f>
        <v/>
      </c>
      <c r="X51" s="16"/>
      <c r="Y51" s="16"/>
      <c r="Z51" s="16"/>
      <c r="AA51" s="16"/>
      <c r="AB51" s="16"/>
      <c r="AC51" s="16"/>
      <c r="AD51" s="16"/>
      <c r="AE51" s="16"/>
      <c r="AF51" s="15" t="str">
        <f aca="false">IF(AB51&lt;&gt;"",AB51,IF('MEUS PROCESSOS'!N51="Alto",Sug_Alto,IF('MEUS PROCESSOS'!N51="Médio",Sug_Medio,IF('MEUS PROCESSOS'!N51="Baixo",Sug_Baixo,""))))</f>
        <v/>
      </c>
      <c r="AG51" s="15" t="str">
        <f aca="false">IF(AC51&lt;&gt;"",AC51,IF('MEUS PROCESSOS'!O51="Alto",Sug_Alto,IF('MEUS PROCESSOS'!O51="Médio",Sug_Medio,IF('MEUS PROCESSOS'!O51="Baixo",Sug_Baixo,""))))</f>
        <v/>
      </c>
      <c r="AH51" s="15" t="str">
        <f aca="false">IF(B51="","",IF(AND(AB51&lt;&gt;"",AC51&lt;&gt;""),"Avaliado pela empresa",IF(AND(AB51="",AC51="",'MEUS PROCESSOS'!N51&lt;&gt;""),"Sugestão da biblioteca",IF('MEUS PROCESSOS'!N51&lt;&gt;"","Parcialmente sugerido",IF(AND(AB51="",AC51=""),"","Avaliado pela empresa")))))</f>
        <v/>
      </c>
      <c r="AI51" s="18" t="str">
        <f aca="false">IF(B51="","",IF(AND((COUNTBLANK(X51:AA51)+COUNTBLANK(AD51:AE51)+(AF51="")*1+(AG51="")*1)=0,W51&lt;&gt;""),"Completo","Incompleto — faltam "&amp;IF((COUNTBLANK(X51:AA51)+COUNTBLANK(AD51:AE51)+(AF51="")*1+(AG51="")*1)&gt;0,(COUNTBLANK(X51:AA51)+COUNTBLANK(AD51:AE51)+(AF51="")*1+(AG51="")*1)&amp;IF((COUNTBLANK(X51:AA51)+COUNTBLANK(AD51:AE51)+(AF51="")*1+(AG51="")*1)=1," avaliação"," avaliações"),"")&amp;IF(AND((COUNTBLANK(X51:AA51)+COUNTBLANK(AD51:AE51)+(AF51="")*1+(AG51="")*1)&gt;0,W51=""), " e ","")&amp;IF(W51="","os dados de custo","")))</f>
        <v/>
      </c>
      <c r="AJ51" s="29" t="str">
        <f aca="false">IF($AI51&lt;&gt;"Completo","",W_Custo*(W51-1)/4+W_Imp*(X51-1)/4)</f>
        <v/>
      </c>
      <c r="AK51" s="29" t="str">
        <f aca="false">IF($AI51&lt;&gt;"Completo","",W_Pot*(MAX(AF51,AG51)-1)/4+W_Rep*(Y51-1)/4+W_Pad*(Z51-1)/4+W_Vol*(AA51-1)/4)</f>
        <v/>
      </c>
      <c r="AL51" s="29" t="str">
        <f aca="false">IF($AI51&lt;&gt;"Completo","",(1-F_Pen*(AE51-1)/4)*(1-F_Pen*(AD51-1)/4))</f>
        <v/>
      </c>
      <c r="AM51" s="29" t="str">
        <f aca="false">IF($AI51&lt;&gt;"Completo","",SQRT(AK51*AL51))</f>
        <v/>
      </c>
      <c r="AN51" s="30" t="str">
        <f aca="false">IF($AI51&lt;&gt;"Completo","",100*AJ51^Exp_V*AM51^Exp_Vb)</f>
        <v/>
      </c>
      <c r="AO51" s="15" t="str">
        <f aca="false">IF(AN51="","",IF(AJ51&gt;=Corte,IF(AM51&gt;=Corte,"Fazer primeiro","Projeto estratégico"),IF(AM51&gt;=Corte,"Quick win","Evitar")))</f>
        <v/>
      </c>
      <c r="AP51" s="15" t="str">
        <f aca="false">IF(AN51="","",IF(OR(AD51&gt;=Trava_Nota,AE51&gt;=Trava_Nota),"SIM","—"))</f>
        <v/>
      </c>
      <c r="AQ51" s="15" t="str">
        <f aca="false">IF(AN51="","",IF(MAX(AF51,AG51)&lt;=Rota_Nota,"SIM","—"))</f>
        <v/>
      </c>
      <c r="AR51" s="15" t="str">
        <f aca="false">IF(AN51="","",IF(Z51&lt;=Rota_Nota,"SIM","—"))</f>
        <v/>
      </c>
      <c r="AS51" s="15" t="str">
        <f aca="false">IF(AN51="","",IF(AP51="SIM",IF(AJ51&gt;=Corte,"Projeto estratégico","Evitar"),AO51))</f>
        <v/>
      </c>
      <c r="AT51" s="15" t="str">
        <f aca="false">IF(AN51="","",IF(OR(AND(AJ51&gt;=Fr_Min,AJ51&lt;=Fr_Max),AND(AM51&gt;=Fr_Min,AM51&lt;=Fr_Max)),"Revisar",""))</f>
        <v/>
      </c>
      <c r="AU51" s="15" t="str">
        <f aca="false">IF(BE51="","",COUNTIF($BE$6:$BE$105,"&gt;"&amp;BE51)+1)</f>
        <v/>
      </c>
      <c r="AV51" s="16"/>
      <c r="AW51" s="15" t="str">
        <f aca="false">IF(B51="","",IF(AV51&lt;&gt;"",AV51,'MEUS PROCESSOS'!M51))</f>
        <v/>
      </c>
      <c r="AX51" s="23"/>
      <c r="AY51" s="31" t="str">
        <f aca="false">IF(AW51="","",IF(AX51&lt;&gt;"",AX51,IF(AW51="S",Red_S,IF(AW51="P",Red_P,IF(AW51="A",Red_A,IF(AW51="IA",Red_IA,""))))))</f>
        <v/>
      </c>
      <c r="AZ51" s="27" t="str">
        <f aca="false">IF(OR(V51="",AY51=""),"",(T51+U51)*AY51)</f>
        <v/>
      </c>
      <c r="BA51" s="27" t="str">
        <f aca="false">IF(OR(V51="",AY51=""),"",(R51+S51)*AY51)</f>
        <v/>
      </c>
      <c r="BB51" s="27" t="str">
        <f aca="false">IF(AZ51="","",AZ51+BA51)</f>
        <v/>
      </c>
      <c r="BC51" s="27" t="str">
        <f aca="false">IF(OR(P51="",AY51=""),"",(P51*(1+N(J51))+N(M51))*12*AY51)</f>
        <v/>
      </c>
      <c r="BD51" s="18" t="str">
        <f aca="false">IF(B51="","",IF(AND(AW51="E",AX51=""),"Eliminar: informe quanto do esforço atual deixa de existir (0% a 100%). Não há percentual inicial sugerido.",IF(AND(AX51="",AY51&lt;&gt;""),"Redução pela faixa inicial para simulação","")))</f>
        <v/>
      </c>
      <c r="BE51" s="19" t="str">
        <f aca="false">IF(AND(AN51&lt;&gt;"",D51=1),AN51+(1000-A51)/1000000,"")</f>
        <v/>
      </c>
    </row>
    <row r="52" customFormat="false" ht="15" hidden="false" customHeight="false" outlineLevel="0" collapsed="false">
      <c r="A52" s="15" t="n">
        <v>47</v>
      </c>
      <c r="B52" s="18" t="str">
        <f aca="false">IF('MEUS PROCESSOS'!J52="","",'MEUS PROCESSOS'!J52)</f>
        <v/>
      </c>
      <c r="C52" s="15" t="str">
        <f aca="false">IF('MEUS PROCESSOS'!K52="","",'MEUS PROCESSOS'!K52)</f>
        <v/>
      </c>
      <c r="D52" s="19" t="n">
        <f aca="false">'MEUS PROCESSOS'!Q52</f>
        <v>0</v>
      </c>
      <c r="E52" s="16"/>
      <c r="F52" s="16"/>
      <c r="G52" s="16"/>
      <c r="H52" s="16"/>
      <c r="I52" s="22"/>
      <c r="J52" s="23"/>
      <c r="K52" s="16"/>
      <c r="L52" s="24"/>
      <c r="M52" s="16"/>
      <c r="N52" s="24"/>
      <c r="O52" s="25" t="str">
        <f aca="false">IF(OR(E52="",F52=""),"",F52*IF(E52="Diária",Mult_Diaria,IF(E52="Semanal",Mult_Semanal,1)))</f>
        <v/>
      </c>
      <c r="P52" s="25" t="str">
        <f aca="false">IF(OR(O52="",G52="",H52=""),"",O52*G52/60*H52)</f>
        <v/>
      </c>
      <c r="Q52" s="26" t="str">
        <f aca="false">IF(I52&lt;&gt;"",I52,IF(Custo_Hora_Padrao&lt;&gt;"",Custo_Hora_Padrao,""))</f>
        <v/>
      </c>
      <c r="R52" s="27" t="str">
        <f aca="false">IF(OR(P52="",Q52=""),"",P52*Q52*12)</f>
        <v/>
      </c>
      <c r="S52" s="27" t="str">
        <f aca="false">IF(R52="","",R52*N(J52))</f>
        <v/>
      </c>
      <c r="T52" s="27" t="str">
        <f aca="false">IF(R52="","",N(K52)*N(L52)*12)</f>
        <v/>
      </c>
      <c r="U52" s="27" t="str">
        <f aca="false">IF(R52="","",(N(M52)*Q52*HE_Fator+N(N52))*12)</f>
        <v/>
      </c>
      <c r="V52" s="28" t="str">
        <f aca="false">IF(R52="","",R52+S52+T52+U52)</f>
        <v/>
      </c>
      <c r="W52" s="15" t="str">
        <f aca="false">IF(V52="","",IF(V52&lt;=Faixa_1,1,IF(V52&lt;=Faixa_2,2,IF(V52&lt;=Faixa_3,3,IF(V52&lt;=Faixa_4,4,5)))))</f>
        <v/>
      </c>
      <c r="X52" s="16"/>
      <c r="Y52" s="16"/>
      <c r="Z52" s="16"/>
      <c r="AA52" s="16"/>
      <c r="AB52" s="16"/>
      <c r="AC52" s="16"/>
      <c r="AD52" s="16"/>
      <c r="AE52" s="16"/>
      <c r="AF52" s="15" t="str">
        <f aca="false">IF(AB52&lt;&gt;"",AB52,IF('MEUS PROCESSOS'!N52="Alto",Sug_Alto,IF('MEUS PROCESSOS'!N52="Médio",Sug_Medio,IF('MEUS PROCESSOS'!N52="Baixo",Sug_Baixo,""))))</f>
        <v/>
      </c>
      <c r="AG52" s="15" t="str">
        <f aca="false">IF(AC52&lt;&gt;"",AC52,IF('MEUS PROCESSOS'!O52="Alto",Sug_Alto,IF('MEUS PROCESSOS'!O52="Médio",Sug_Medio,IF('MEUS PROCESSOS'!O52="Baixo",Sug_Baixo,""))))</f>
        <v/>
      </c>
      <c r="AH52" s="15" t="str">
        <f aca="false">IF(B52="","",IF(AND(AB52&lt;&gt;"",AC52&lt;&gt;""),"Avaliado pela empresa",IF(AND(AB52="",AC52="",'MEUS PROCESSOS'!N52&lt;&gt;""),"Sugestão da biblioteca",IF('MEUS PROCESSOS'!N52&lt;&gt;"","Parcialmente sugerido",IF(AND(AB52="",AC52=""),"","Avaliado pela empresa")))))</f>
        <v/>
      </c>
      <c r="AI52" s="18" t="str">
        <f aca="false">IF(B52="","",IF(AND((COUNTBLANK(X52:AA52)+COUNTBLANK(AD52:AE52)+(AF52="")*1+(AG52="")*1)=0,W52&lt;&gt;""),"Completo","Incompleto — faltam "&amp;IF((COUNTBLANK(X52:AA52)+COUNTBLANK(AD52:AE52)+(AF52="")*1+(AG52="")*1)&gt;0,(COUNTBLANK(X52:AA52)+COUNTBLANK(AD52:AE52)+(AF52="")*1+(AG52="")*1)&amp;IF((COUNTBLANK(X52:AA52)+COUNTBLANK(AD52:AE52)+(AF52="")*1+(AG52="")*1)=1," avaliação"," avaliações"),"")&amp;IF(AND((COUNTBLANK(X52:AA52)+COUNTBLANK(AD52:AE52)+(AF52="")*1+(AG52="")*1)&gt;0,W52=""), " e ","")&amp;IF(W52="","os dados de custo","")))</f>
        <v/>
      </c>
      <c r="AJ52" s="29" t="str">
        <f aca="false">IF($AI52&lt;&gt;"Completo","",W_Custo*(W52-1)/4+W_Imp*(X52-1)/4)</f>
        <v/>
      </c>
      <c r="AK52" s="29" t="str">
        <f aca="false">IF($AI52&lt;&gt;"Completo","",W_Pot*(MAX(AF52,AG52)-1)/4+W_Rep*(Y52-1)/4+W_Pad*(Z52-1)/4+W_Vol*(AA52-1)/4)</f>
        <v/>
      </c>
      <c r="AL52" s="29" t="str">
        <f aca="false">IF($AI52&lt;&gt;"Completo","",(1-F_Pen*(AE52-1)/4)*(1-F_Pen*(AD52-1)/4))</f>
        <v/>
      </c>
      <c r="AM52" s="29" t="str">
        <f aca="false">IF($AI52&lt;&gt;"Completo","",SQRT(AK52*AL52))</f>
        <v/>
      </c>
      <c r="AN52" s="30" t="str">
        <f aca="false">IF($AI52&lt;&gt;"Completo","",100*AJ52^Exp_V*AM52^Exp_Vb)</f>
        <v/>
      </c>
      <c r="AO52" s="15" t="str">
        <f aca="false">IF(AN52="","",IF(AJ52&gt;=Corte,IF(AM52&gt;=Corte,"Fazer primeiro","Projeto estratégico"),IF(AM52&gt;=Corte,"Quick win","Evitar")))</f>
        <v/>
      </c>
      <c r="AP52" s="15" t="str">
        <f aca="false">IF(AN52="","",IF(OR(AD52&gt;=Trava_Nota,AE52&gt;=Trava_Nota),"SIM","—"))</f>
        <v/>
      </c>
      <c r="AQ52" s="15" t="str">
        <f aca="false">IF(AN52="","",IF(MAX(AF52,AG52)&lt;=Rota_Nota,"SIM","—"))</f>
        <v/>
      </c>
      <c r="AR52" s="15" t="str">
        <f aca="false">IF(AN52="","",IF(Z52&lt;=Rota_Nota,"SIM","—"))</f>
        <v/>
      </c>
      <c r="AS52" s="15" t="str">
        <f aca="false">IF(AN52="","",IF(AP52="SIM",IF(AJ52&gt;=Corte,"Projeto estratégico","Evitar"),AO52))</f>
        <v/>
      </c>
      <c r="AT52" s="15" t="str">
        <f aca="false">IF(AN52="","",IF(OR(AND(AJ52&gt;=Fr_Min,AJ52&lt;=Fr_Max),AND(AM52&gt;=Fr_Min,AM52&lt;=Fr_Max)),"Revisar",""))</f>
        <v/>
      </c>
      <c r="AU52" s="15" t="str">
        <f aca="false">IF(BE52="","",COUNTIF($BE$6:$BE$105,"&gt;"&amp;BE52)+1)</f>
        <v/>
      </c>
      <c r="AV52" s="16"/>
      <c r="AW52" s="15" t="str">
        <f aca="false">IF(B52="","",IF(AV52&lt;&gt;"",AV52,'MEUS PROCESSOS'!M52))</f>
        <v/>
      </c>
      <c r="AX52" s="23"/>
      <c r="AY52" s="31" t="str">
        <f aca="false">IF(AW52="","",IF(AX52&lt;&gt;"",AX52,IF(AW52="S",Red_S,IF(AW52="P",Red_P,IF(AW52="A",Red_A,IF(AW52="IA",Red_IA,""))))))</f>
        <v/>
      </c>
      <c r="AZ52" s="27" t="str">
        <f aca="false">IF(OR(V52="",AY52=""),"",(T52+U52)*AY52)</f>
        <v/>
      </c>
      <c r="BA52" s="27" t="str">
        <f aca="false">IF(OR(V52="",AY52=""),"",(R52+S52)*AY52)</f>
        <v/>
      </c>
      <c r="BB52" s="27" t="str">
        <f aca="false">IF(AZ52="","",AZ52+BA52)</f>
        <v/>
      </c>
      <c r="BC52" s="27" t="str">
        <f aca="false">IF(OR(P52="",AY52=""),"",(P52*(1+N(J52))+N(M52))*12*AY52)</f>
        <v/>
      </c>
      <c r="BD52" s="18" t="str">
        <f aca="false">IF(B52="","",IF(AND(AW52="E",AX52=""),"Eliminar: informe quanto do esforço atual deixa de existir (0% a 100%). Não há percentual inicial sugerido.",IF(AND(AX52="",AY52&lt;&gt;""),"Redução pela faixa inicial para simulação","")))</f>
        <v/>
      </c>
      <c r="BE52" s="19" t="str">
        <f aca="false">IF(AND(AN52&lt;&gt;"",D52=1),AN52+(1000-A52)/1000000,"")</f>
        <v/>
      </c>
    </row>
    <row r="53" customFormat="false" ht="15" hidden="false" customHeight="false" outlineLevel="0" collapsed="false">
      <c r="A53" s="15" t="n">
        <v>48</v>
      </c>
      <c r="B53" s="18" t="str">
        <f aca="false">IF('MEUS PROCESSOS'!J53="","",'MEUS PROCESSOS'!J53)</f>
        <v/>
      </c>
      <c r="C53" s="15" t="str">
        <f aca="false">IF('MEUS PROCESSOS'!K53="","",'MEUS PROCESSOS'!K53)</f>
        <v/>
      </c>
      <c r="D53" s="19" t="n">
        <f aca="false">'MEUS PROCESSOS'!Q53</f>
        <v>0</v>
      </c>
      <c r="E53" s="16"/>
      <c r="F53" s="16"/>
      <c r="G53" s="16"/>
      <c r="H53" s="16"/>
      <c r="I53" s="22"/>
      <c r="J53" s="23"/>
      <c r="K53" s="16"/>
      <c r="L53" s="24"/>
      <c r="M53" s="16"/>
      <c r="N53" s="24"/>
      <c r="O53" s="25" t="str">
        <f aca="false">IF(OR(E53="",F53=""),"",F53*IF(E53="Diária",Mult_Diaria,IF(E53="Semanal",Mult_Semanal,1)))</f>
        <v/>
      </c>
      <c r="P53" s="25" t="str">
        <f aca="false">IF(OR(O53="",G53="",H53=""),"",O53*G53/60*H53)</f>
        <v/>
      </c>
      <c r="Q53" s="26" t="str">
        <f aca="false">IF(I53&lt;&gt;"",I53,IF(Custo_Hora_Padrao&lt;&gt;"",Custo_Hora_Padrao,""))</f>
        <v/>
      </c>
      <c r="R53" s="27" t="str">
        <f aca="false">IF(OR(P53="",Q53=""),"",P53*Q53*12)</f>
        <v/>
      </c>
      <c r="S53" s="27" t="str">
        <f aca="false">IF(R53="","",R53*N(J53))</f>
        <v/>
      </c>
      <c r="T53" s="27" t="str">
        <f aca="false">IF(R53="","",N(K53)*N(L53)*12)</f>
        <v/>
      </c>
      <c r="U53" s="27" t="str">
        <f aca="false">IF(R53="","",(N(M53)*Q53*HE_Fator+N(N53))*12)</f>
        <v/>
      </c>
      <c r="V53" s="28" t="str">
        <f aca="false">IF(R53="","",R53+S53+T53+U53)</f>
        <v/>
      </c>
      <c r="W53" s="15" t="str">
        <f aca="false">IF(V53="","",IF(V53&lt;=Faixa_1,1,IF(V53&lt;=Faixa_2,2,IF(V53&lt;=Faixa_3,3,IF(V53&lt;=Faixa_4,4,5)))))</f>
        <v/>
      </c>
      <c r="X53" s="16"/>
      <c r="Y53" s="16"/>
      <c r="Z53" s="16"/>
      <c r="AA53" s="16"/>
      <c r="AB53" s="16"/>
      <c r="AC53" s="16"/>
      <c r="AD53" s="16"/>
      <c r="AE53" s="16"/>
      <c r="AF53" s="15" t="str">
        <f aca="false">IF(AB53&lt;&gt;"",AB53,IF('MEUS PROCESSOS'!N53="Alto",Sug_Alto,IF('MEUS PROCESSOS'!N53="Médio",Sug_Medio,IF('MEUS PROCESSOS'!N53="Baixo",Sug_Baixo,""))))</f>
        <v/>
      </c>
      <c r="AG53" s="15" t="str">
        <f aca="false">IF(AC53&lt;&gt;"",AC53,IF('MEUS PROCESSOS'!O53="Alto",Sug_Alto,IF('MEUS PROCESSOS'!O53="Médio",Sug_Medio,IF('MEUS PROCESSOS'!O53="Baixo",Sug_Baixo,""))))</f>
        <v/>
      </c>
      <c r="AH53" s="15" t="str">
        <f aca="false">IF(B53="","",IF(AND(AB53&lt;&gt;"",AC53&lt;&gt;""),"Avaliado pela empresa",IF(AND(AB53="",AC53="",'MEUS PROCESSOS'!N53&lt;&gt;""),"Sugestão da biblioteca",IF('MEUS PROCESSOS'!N53&lt;&gt;"","Parcialmente sugerido",IF(AND(AB53="",AC53=""),"","Avaliado pela empresa")))))</f>
        <v/>
      </c>
      <c r="AI53" s="18" t="str">
        <f aca="false">IF(B53="","",IF(AND((COUNTBLANK(X53:AA53)+COUNTBLANK(AD53:AE53)+(AF53="")*1+(AG53="")*1)=0,W53&lt;&gt;""),"Completo","Incompleto — faltam "&amp;IF((COUNTBLANK(X53:AA53)+COUNTBLANK(AD53:AE53)+(AF53="")*1+(AG53="")*1)&gt;0,(COUNTBLANK(X53:AA53)+COUNTBLANK(AD53:AE53)+(AF53="")*1+(AG53="")*1)&amp;IF((COUNTBLANK(X53:AA53)+COUNTBLANK(AD53:AE53)+(AF53="")*1+(AG53="")*1)=1," avaliação"," avaliações"),"")&amp;IF(AND((COUNTBLANK(X53:AA53)+COUNTBLANK(AD53:AE53)+(AF53="")*1+(AG53="")*1)&gt;0,W53=""), " e ","")&amp;IF(W53="","os dados de custo","")))</f>
        <v/>
      </c>
      <c r="AJ53" s="29" t="str">
        <f aca="false">IF($AI53&lt;&gt;"Completo","",W_Custo*(W53-1)/4+W_Imp*(X53-1)/4)</f>
        <v/>
      </c>
      <c r="AK53" s="29" t="str">
        <f aca="false">IF($AI53&lt;&gt;"Completo","",W_Pot*(MAX(AF53,AG53)-1)/4+W_Rep*(Y53-1)/4+W_Pad*(Z53-1)/4+W_Vol*(AA53-1)/4)</f>
        <v/>
      </c>
      <c r="AL53" s="29" t="str">
        <f aca="false">IF($AI53&lt;&gt;"Completo","",(1-F_Pen*(AE53-1)/4)*(1-F_Pen*(AD53-1)/4))</f>
        <v/>
      </c>
      <c r="AM53" s="29" t="str">
        <f aca="false">IF($AI53&lt;&gt;"Completo","",SQRT(AK53*AL53))</f>
        <v/>
      </c>
      <c r="AN53" s="30" t="str">
        <f aca="false">IF($AI53&lt;&gt;"Completo","",100*AJ53^Exp_V*AM53^Exp_Vb)</f>
        <v/>
      </c>
      <c r="AO53" s="15" t="str">
        <f aca="false">IF(AN53="","",IF(AJ53&gt;=Corte,IF(AM53&gt;=Corte,"Fazer primeiro","Projeto estratégico"),IF(AM53&gt;=Corte,"Quick win","Evitar")))</f>
        <v/>
      </c>
      <c r="AP53" s="15" t="str">
        <f aca="false">IF(AN53="","",IF(OR(AD53&gt;=Trava_Nota,AE53&gt;=Trava_Nota),"SIM","—"))</f>
        <v/>
      </c>
      <c r="AQ53" s="15" t="str">
        <f aca="false">IF(AN53="","",IF(MAX(AF53,AG53)&lt;=Rota_Nota,"SIM","—"))</f>
        <v/>
      </c>
      <c r="AR53" s="15" t="str">
        <f aca="false">IF(AN53="","",IF(Z53&lt;=Rota_Nota,"SIM","—"))</f>
        <v/>
      </c>
      <c r="AS53" s="15" t="str">
        <f aca="false">IF(AN53="","",IF(AP53="SIM",IF(AJ53&gt;=Corte,"Projeto estratégico","Evitar"),AO53))</f>
        <v/>
      </c>
      <c r="AT53" s="15" t="str">
        <f aca="false">IF(AN53="","",IF(OR(AND(AJ53&gt;=Fr_Min,AJ53&lt;=Fr_Max),AND(AM53&gt;=Fr_Min,AM53&lt;=Fr_Max)),"Revisar",""))</f>
        <v/>
      </c>
      <c r="AU53" s="15" t="str">
        <f aca="false">IF(BE53="","",COUNTIF($BE$6:$BE$105,"&gt;"&amp;BE53)+1)</f>
        <v/>
      </c>
      <c r="AV53" s="16"/>
      <c r="AW53" s="15" t="str">
        <f aca="false">IF(B53="","",IF(AV53&lt;&gt;"",AV53,'MEUS PROCESSOS'!M53))</f>
        <v/>
      </c>
      <c r="AX53" s="23"/>
      <c r="AY53" s="31" t="str">
        <f aca="false">IF(AW53="","",IF(AX53&lt;&gt;"",AX53,IF(AW53="S",Red_S,IF(AW53="P",Red_P,IF(AW53="A",Red_A,IF(AW53="IA",Red_IA,""))))))</f>
        <v/>
      </c>
      <c r="AZ53" s="27" t="str">
        <f aca="false">IF(OR(V53="",AY53=""),"",(T53+U53)*AY53)</f>
        <v/>
      </c>
      <c r="BA53" s="27" t="str">
        <f aca="false">IF(OR(V53="",AY53=""),"",(R53+S53)*AY53)</f>
        <v/>
      </c>
      <c r="BB53" s="27" t="str">
        <f aca="false">IF(AZ53="","",AZ53+BA53)</f>
        <v/>
      </c>
      <c r="BC53" s="27" t="str">
        <f aca="false">IF(OR(P53="",AY53=""),"",(P53*(1+N(J53))+N(M53))*12*AY53)</f>
        <v/>
      </c>
      <c r="BD53" s="18" t="str">
        <f aca="false">IF(B53="","",IF(AND(AW53="E",AX53=""),"Eliminar: informe quanto do esforço atual deixa de existir (0% a 100%). Não há percentual inicial sugerido.",IF(AND(AX53="",AY53&lt;&gt;""),"Redução pela faixa inicial para simulação","")))</f>
        <v/>
      </c>
      <c r="BE53" s="19" t="str">
        <f aca="false">IF(AND(AN53&lt;&gt;"",D53=1),AN53+(1000-A53)/1000000,"")</f>
        <v/>
      </c>
    </row>
    <row r="54" customFormat="false" ht="15" hidden="false" customHeight="false" outlineLevel="0" collapsed="false">
      <c r="A54" s="15" t="n">
        <v>49</v>
      </c>
      <c r="B54" s="18" t="str">
        <f aca="false">IF('MEUS PROCESSOS'!J54="","",'MEUS PROCESSOS'!J54)</f>
        <v/>
      </c>
      <c r="C54" s="15" t="str">
        <f aca="false">IF('MEUS PROCESSOS'!K54="","",'MEUS PROCESSOS'!K54)</f>
        <v/>
      </c>
      <c r="D54" s="19" t="n">
        <f aca="false">'MEUS PROCESSOS'!Q54</f>
        <v>0</v>
      </c>
      <c r="E54" s="16"/>
      <c r="F54" s="16"/>
      <c r="G54" s="16"/>
      <c r="H54" s="16"/>
      <c r="I54" s="22"/>
      <c r="J54" s="23"/>
      <c r="K54" s="16"/>
      <c r="L54" s="24"/>
      <c r="M54" s="16"/>
      <c r="N54" s="24"/>
      <c r="O54" s="25" t="str">
        <f aca="false">IF(OR(E54="",F54=""),"",F54*IF(E54="Diária",Mult_Diaria,IF(E54="Semanal",Mult_Semanal,1)))</f>
        <v/>
      </c>
      <c r="P54" s="25" t="str">
        <f aca="false">IF(OR(O54="",G54="",H54=""),"",O54*G54/60*H54)</f>
        <v/>
      </c>
      <c r="Q54" s="26" t="str">
        <f aca="false">IF(I54&lt;&gt;"",I54,IF(Custo_Hora_Padrao&lt;&gt;"",Custo_Hora_Padrao,""))</f>
        <v/>
      </c>
      <c r="R54" s="27" t="str">
        <f aca="false">IF(OR(P54="",Q54=""),"",P54*Q54*12)</f>
        <v/>
      </c>
      <c r="S54" s="27" t="str">
        <f aca="false">IF(R54="","",R54*N(J54))</f>
        <v/>
      </c>
      <c r="T54" s="27" t="str">
        <f aca="false">IF(R54="","",N(K54)*N(L54)*12)</f>
        <v/>
      </c>
      <c r="U54" s="27" t="str">
        <f aca="false">IF(R54="","",(N(M54)*Q54*HE_Fator+N(N54))*12)</f>
        <v/>
      </c>
      <c r="V54" s="28" t="str">
        <f aca="false">IF(R54="","",R54+S54+T54+U54)</f>
        <v/>
      </c>
      <c r="W54" s="15" t="str">
        <f aca="false">IF(V54="","",IF(V54&lt;=Faixa_1,1,IF(V54&lt;=Faixa_2,2,IF(V54&lt;=Faixa_3,3,IF(V54&lt;=Faixa_4,4,5)))))</f>
        <v/>
      </c>
      <c r="X54" s="16"/>
      <c r="Y54" s="16"/>
      <c r="Z54" s="16"/>
      <c r="AA54" s="16"/>
      <c r="AB54" s="16"/>
      <c r="AC54" s="16"/>
      <c r="AD54" s="16"/>
      <c r="AE54" s="16"/>
      <c r="AF54" s="15" t="str">
        <f aca="false">IF(AB54&lt;&gt;"",AB54,IF('MEUS PROCESSOS'!N54="Alto",Sug_Alto,IF('MEUS PROCESSOS'!N54="Médio",Sug_Medio,IF('MEUS PROCESSOS'!N54="Baixo",Sug_Baixo,""))))</f>
        <v/>
      </c>
      <c r="AG54" s="15" t="str">
        <f aca="false">IF(AC54&lt;&gt;"",AC54,IF('MEUS PROCESSOS'!O54="Alto",Sug_Alto,IF('MEUS PROCESSOS'!O54="Médio",Sug_Medio,IF('MEUS PROCESSOS'!O54="Baixo",Sug_Baixo,""))))</f>
        <v/>
      </c>
      <c r="AH54" s="15" t="str">
        <f aca="false">IF(B54="","",IF(AND(AB54&lt;&gt;"",AC54&lt;&gt;""),"Avaliado pela empresa",IF(AND(AB54="",AC54="",'MEUS PROCESSOS'!N54&lt;&gt;""),"Sugestão da biblioteca",IF('MEUS PROCESSOS'!N54&lt;&gt;"","Parcialmente sugerido",IF(AND(AB54="",AC54=""),"","Avaliado pela empresa")))))</f>
        <v/>
      </c>
      <c r="AI54" s="18" t="str">
        <f aca="false">IF(B54="","",IF(AND((COUNTBLANK(X54:AA54)+COUNTBLANK(AD54:AE54)+(AF54="")*1+(AG54="")*1)=0,W54&lt;&gt;""),"Completo","Incompleto — faltam "&amp;IF((COUNTBLANK(X54:AA54)+COUNTBLANK(AD54:AE54)+(AF54="")*1+(AG54="")*1)&gt;0,(COUNTBLANK(X54:AA54)+COUNTBLANK(AD54:AE54)+(AF54="")*1+(AG54="")*1)&amp;IF((COUNTBLANK(X54:AA54)+COUNTBLANK(AD54:AE54)+(AF54="")*1+(AG54="")*1)=1," avaliação"," avaliações"),"")&amp;IF(AND((COUNTBLANK(X54:AA54)+COUNTBLANK(AD54:AE54)+(AF54="")*1+(AG54="")*1)&gt;0,W54=""), " e ","")&amp;IF(W54="","os dados de custo","")))</f>
        <v/>
      </c>
      <c r="AJ54" s="29" t="str">
        <f aca="false">IF($AI54&lt;&gt;"Completo","",W_Custo*(W54-1)/4+W_Imp*(X54-1)/4)</f>
        <v/>
      </c>
      <c r="AK54" s="29" t="str">
        <f aca="false">IF($AI54&lt;&gt;"Completo","",W_Pot*(MAX(AF54,AG54)-1)/4+W_Rep*(Y54-1)/4+W_Pad*(Z54-1)/4+W_Vol*(AA54-1)/4)</f>
        <v/>
      </c>
      <c r="AL54" s="29" t="str">
        <f aca="false">IF($AI54&lt;&gt;"Completo","",(1-F_Pen*(AE54-1)/4)*(1-F_Pen*(AD54-1)/4))</f>
        <v/>
      </c>
      <c r="AM54" s="29" t="str">
        <f aca="false">IF($AI54&lt;&gt;"Completo","",SQRT(AK54*AL54))</f>
        <v/>
      </c>
      <c r="AN54" s="30" t="str">
        <f aca="false">IF($AI54&lt;&gt;"Completo","",100*AJ54^Exp_V*AM54^Exp_Vb)</f>
        <v/>
      </c>
      <c r="AO54" s="15" t="str">
        <f aca="false">IF(AN54="","",IF(AJ54&gt;=Corte,IF(AM54&gt;=Corte,"Fazer primeiro","Projeto estratégico"),IF(AM54&gt;=Corte,"Quick win","Evitar")))</f>
        <v/>
      </c>
      <c r="AP54" s="15" t="str">
        <f aca="false">IF(AN54="","",IF(OR(AD54&gt;=Trava_Nota,AE54&gt;=Trava_Nota),"SIM","—"))</f>
        <v/>
      </c>
      <c r="AQ54" s="15" t="str">
        <f aca="false">IF(AN54="","",IF(MAX(AF54,AG54)&lt;=Rota_Nota,"SIM","—"))</f>
        <v/>
      </c>
      <c r="AR54" s="15" t="str">
        <f aca="false">IF(AN54="","",IF(Z54&lt;=Rota_Nota,"SIM","—"))</f>
        <v/>
      </c>
      <c r="AS54" s="15" t="str">
        <f aca="false">IF(AN54="","",IF(AP54="SIM",IF(AJ54&gt;=Corte,"Projeto estratégico","Evitar"),AO54))</f>
        <v/>
      </c>
      <c r="AT54" s="15" t="str">
        <f aca="false">IF(AN54="","",IF(OR(AND(AJ54&gt;=Fr_Min,AJ54&lt;=Fr_Max),AND(AM54&gt;=Fr_Min,AM54&lt;=Fr_Max)),"Revisar",""))</f>
        <v/>
      </c>
      <c r="AU54" s="15" t="str">
        <f aca="false">IF(BE54="","",COUNTIF($BE$6:$BE$105,"&gt;"&amp;BE54)+1)</f>
        <v/>
      </c>
      <c r="AV54" s="16"/>
      <c r="AW54" s="15" t="str">
        <f aca="false">IF(B54="","",IF(AV54&lt;&gt;"",AV54,'MEUS PROCESSOS'!M54))</f>
        <v/>
      </c>
      <c r="AX54" s="23"/>
      <c r="AY54" s="31" t="str">
        <f aca="false">IF(AW54="","",IF(AX54&lt;&gt;"",AX54,IF(AW54="S",Red_S,IF(AW54="P",Red_P,IF(AW54="A",Red_A,IF(AW54="IA",Red_IA,""))))))</f>
        <v/>
      </c>
      <c r="AZ54" s="27" t="str">
        <f aca="false">IF(OR(V54="",AY54=""),"",(T54+U54)*AY54)</f>
        <v/>
      </c>
      <c r="BA54" s="27" t="str">
        <f aca="false">IF(OR(V54="",AY54=""),"",(R54+S54)*AY54)</f>
        <v/>
      </c>
      <c r="BB54" s="27" t="str">
        <f aca="false">IF(AZ54="","",AZ54+BA54)</f>
        <v/>
      </c>
      <c r="BC54" s="27" t="str">
        <f aca="false">IF(OR(P54="",AY54=""),"",(P54*(1+N(J54))+N(M54))*12*AY54)</f>
        <v/>
      </c>
      <c r="BD54" s="18" t="str">
        <f aca="false">IF(B54="","",IF(AND(AW54="E",AX54=""),"Eliminar: informe quanto do esforço atual deixa de existir (0% a 100%). Não há percentual inicial sugerido.",IF(AND(AX54="",AY54&lt;&gt;""),"Redução pela faixa inicial para simulação","")))</f>
        <v/>
      </c>
      <c r="BE54" s="19" t="str">
        <f aca="false">IF(AND(AN54&lt;&gt;"",D54=1),AN54+(1000-A54)/1000000,"")</f>
        <v/>
      </c>
    </row>
    <row r="55" customFormat="false" ht="15" hidden="false" customHeight="false" outlineLevel="0" collapsed="false">
      <c r="A55" s="15" t="n">
        <v>50</v>
      </c>
      <c r="B55" s="18" t="str">
        <f aca="false">IF('MEUS PROCESSOS'!J55="","",'MEUS PROCESSOS'!J55)</f>
        <v/>
      </c>
      <c r="C55" s="15" t="str">
        <f aca="false">IF('MEUS PROCESSOS'!K55="","",'MEUS PROCESSOS'!K55)</f>
        <v/>
      </c>
      <c r="D55" s="19" t="n">
        <f aca="false">'MEUS PROCESSOS'!Q55</f>
        <v>0</v>
      </c>
      <c r="E55" s="16"/>
      <c r="F55" s="16"/>
      <c r="G55" s="16"/>
      <c r="H55" s="16"/>
      <c r="I55" s="22"/>
      <c r="J55" s="23"/>
      <c r="K55" s="16"/>
      <c r="L55" s="24"/>
      <c r="M55" s="16"/>
      <c r="N55" s="24"/>
      <c r="O55" s="25" t="str">
        <f aca="false">IF(OR(E55="",F55=""),"",F55*IF(E55="Diária",Mult_Diaria,IF(E55="Semanal",Mult_Semanal,1)))</f>
        <v/>
      </c>
      <c r="P55" s="25" t="str">
        <f aca="false">IF(OR(O55="",G55="",H55=""),"",O55*G55/60*H55)</f>
        <v/>
      </c>
      <c r="Q55" s="26" t="str">
        <f aca="false">IF(I55&lt;&gt;"",I55,IF(Custo_Hora_Padrao&lt;&gt;"",Custo_Hora_Padrao,""))</f>
        <v/>
      </c>
      <c r="R55" s="27" t="str">
        <f aca="false">IF(OR(P55="",Q55=""),"",P55*Q55*12)</f>
        <v/>
      </c>
      <c r="S55" s="27" t="str">
        <f aca="false">IF(R55="","",R55*N(J55))</f>
        <v/>
      </c>
      <c r="T55" s="27" t="str">
        <f aca="false">IF(R55="","",N(K55)*N(L55)*12)</f>
        <v/>
      </c>
      <c r="U55" s="27" t="str">
        <f aca="false">IF(R55="","",(N(M55)*Q55*HE_Fator+N(N55))*12)</f>
        <v/>
      </c>
      <c r="V55" s="28" t="str">
        <f aca="false">IF(R55="","",R55+S55+T55+U55)</f>
        <v/>
      </c>
      <c r="W55" s="15" t="str">
        <f aca="false">IF(V55="","",IF(V55&lt;=Faixa_1,1,IF(V55&lt;=Faixa_2,2,IF(V55&lt;=Faixa_3,3,IF(V55&lt;=Faixa_4,4,5)))))</f>
        <v/>
      </c>
      <c r="X55" s="16"/>
      <c r="Y55" s="16"/>
      <c r="Z55" s="16"/>
      <c r="AA55" s="16"/>
      <c r="AB55" s="16"/>
      <c r="AC55" s="16"/>
      <c r="AD55" s="16"/>
      <c r="AE55" s="16"/>
      <c r="AF55" s="15" t="str">
        <f aca="false">IF(AB55&lt;&gt;"",AB55,IF('MEUS PROCESSOS'!N55="Alto",Sug_Alto,IF('MEUS PROCESSOS'!N55="Médio",Sug_Medio,IF('MEUS PROCESSOS'!N55="Baixo",Sug_Baixo,""))))</f>
        <v/>
      </c>
      <c r="AG55" s="15" t="str">
        <f aca="false">IF(AC55&lt;&gt;"",AC55,IF('MEUS PROCESSOS'!O55="Alto",Sug_Alto,IF('MEUS PROCESSOS'!O55="Médio",Sug_Medio,IF('MEUS PROCESSOS'!O55="Baixo",Sug_Baixo,""))))</f>
        <v/>
      </c>
      <c r="AH55" s="15" t="str">
        <f aca="false">IF(B55="","",IF(AND(AB55&lt;&gt;"",AC55&lt;&gt;""),"Avaliado pela empresa",IF(AND(AB55="",AC55="",'MEUS PROCESSOS'!N55&lt;&gt;""),"Sugestão da biblioteca",IF('MEUS PROCESSOS'!N55&lt;&gt;"","Parcialmente sugerido",IF(AND(AB55="",AC55=""),"","Avaliado pela empresa")))))</f>
        <v/>
      </c>
      <c r="AI55" s="18" t="str">
        <f aca="false">IF(B55="","",IF(AND((COUNTBLANK(X55:AA55)+COUNTBLANK(AD55:AE55)+(AF55="")*1+(AG55="")*1)=0,W55&lt;&gt;""),"Completo","Incompleto — faltam "&amp;IF((COUNTBLANK(X55:AA55)+COUNTBLANK(AD55:AE55)+(AF55="")*1+(AG55="")*1)&gt;0,(COUNTBLANK(X55:AA55)+COUNTBLANK(AD55:AE55)+(AF55="")*1+(AG55="")*1)&amp;IF((COUNTBLANK(X55:AA55)+COUNTBLANK(AD55:AE55)+(AF55="")*1+(AG55="")*1)=1," avaliação"," avaliações"),"")&amp;IF(AND((COUNTBLANK(X55:AA55)+COUNTBLANK(AD55:AE55)+(AF55="")*1+(AG55="")*1)&gt;0,W55=""), " e ","")&amp;IF(W55="","os dados de custo","")))</f>
        <v/>
      </c>
      <c r="AJ55" s="29" t="str">
        <f aca="false">IF($AI55&lt;&gt;"Completo","",W_Custo*(W55-1)/4+W_Imp*(X55-1)/4)</f>
        <v/>
      </c>
      <c r="AK55" s="29" t="str">
        <f aca="false">IF($AI55&lt;&gt;"Completo","",W_Pot*(MAX(AF55,AG55)-1)/4+W_Rep*(Y55-1)/4+W_Pad*(Z55-1)/4+W_Vol*(AA55-1)/4)</f>
        <v/>
      </c>
      <c r="AL55" s="29" t="str">
        <f aca="false">IF($AI55&lt;&gt;"Completo","",(1-F_Pen*(AE55-1)/4)*(1-F_Pen*(AD55-1)/4))</f>
        <v/>
      </c>
      <c r="AM55" s="29" t="str">
        <f aca="false">IF($AI55&lt;&gt;"Completo","",SQRT(AK55*AL55))</f>
        <v/>
      </c>
      <c r="AN55" s="30" t="str">
        <f aca="false">IF($AI55&lt;&gt;"Completo","",100*AJ55^Exp_V*AM55^Exp_Vb)</f>
        <v/>
      </c>
      <c r="AO55" s="15" t="str">
        <f aca="false">IF(AN55="","",IF(AJ55&gt;=Corte,IF(AM55&gt;=Corte,"Fazer primeiro","Projeto estratégico"),IF(AM55&gt;=Corte,"Quick win","Evitar")))</f>
        <v/>
      </c>
      <c r="AP55" s="15" t="str">
        <f aca="false">IF(AN55="","",IF(OR(AD55&gt;=Trava_Nota,AE55&gt;=Trava_Nota),"SIM","—"))</f>
        <v/>
      </c>
      <c r="AQ55" s="15" t="str">
        <f aca="false">IF(AN55="","",IF(MAX(AF55,AG55)&lt;=Rota_Nota,"SIM","—"))</f>
        <v/>
      </c>
      <c r="AR55" s="15" t="str">
        <f aca="false">IF(AN55="","",IF(Z55&lt;=Rota_Nota,"SIM","—"))</f>
        <v/>
      </c>
      <c r="AS55" s="15" t="str">
        <f aca="false">IF(AN55="","",IF(AP55="SIM",IF(AJ55&gt;=Corte,"Projeto estratégico","Evitar"),AO55))</f>
        <v/>
      </c>
      <c r="AT55" s="15" t="str">
        <f aca="false">IF(AN55="","",IF(OR(AND(AJ55&gt;=Fr_Min,AJ55&lt;=Fr_Max),AND(AM55&gt;=Fr_Min,AM55&lt;=Fr_Max)),"Revisar",""))</f>
        <v/>
      </c>
      <c r="AU55" s="15" t="str">
        <f aca="false">IF(BE55="","",COUNTIF($BE$6:$BE$105,"&gt;"&amp;BE55)+1)</f>
        <v/>
      </c>
      <c r="AV55" s="16"/>
      <c r="AW55" s="15" t="str">
        <f aca="false">IF(B55="","",IF(AV55&lt;&gt;"",AV55,'MEUS PROCESSOS'!M55))</f>
        <v/>
      </c>
      <c r="AX55" s="23"/>
      <c r="AY55" s="31" t="str">
        <f aca="false">IF(AW55="","",IF(AX55&lt;&gt;"",AX55,IF(AW55="S",Red_S,IF(AW55="P",Red_P,IF(AW55="A",Red_A,IF(AW55="IA",Red_IA,""))))))</f>
        <v/>
      </c>
      <c r="AZ55" s="27" t="str">
        <f aca="false">IF(OR(V55="",AY55=""),"",(T55+U55)*AY55)</f>
        <v/>
      </c>
      <c r="BA55" s="27" t="str">
        <f aca="false">IF(OR(V55="",AY55=""),"",(R55+S55)*AY55)</f>
        <v/>
      </c>
      <c r="BB55" s="27" t="str">
        <f aca="false">IF(AZ55="","",AZ55+BA55)</f>
        <v/>
      </c>
      <c r="BC55" s="27" t="str">
        <f aca="false">IF(OR(P55="",AY55=""),"",(P55*(1+N(J55))+N(M55))*12*AY55)</f>
        <v/>
      </c>
      <c r="BD55" s="18" t="str">
        <f aca="false">IF(B55="","",IF(AND(AW55="E",AX55=""),"Eliminar: informe quanto do esforço atual deixa de existir (0% a 100%). Não há percentual inicial sugerido.",IF(AND(AX55="",AY55&lt;&gt;""),"Redução pela faixa inicial para simulação","")))</f>
        <v/>
      </c>
      <c r="BE55" s="19" t="str">
        <f aca="false">IF(AND(AN55&lt;&gt;"",D55=1),AN55+(1000-A55)/1000000,"")</f>
        <v/>
      </c>
    </row>
    <row r="56" customFormat="false" ht="15" hidden="false" customHeight="false" outlineLevel="0" collapsed="false">
      <c r="A56" s="15" t="n">
        <v>51</v>
      </c>
      <c r="B56" s="18" t="str">
        <f aca="false">IF('MEUS PROCESSOS'!J56="","",'MEUS PROCESSOS'!J56)</f>
        <v/>
      </c>
      <c r="C56" s="15" t="str">
        <f aca="false">IF('MEUS PROCESSOS'!K56="","",'MEUS PROCESSOS'!K56)</f>
        <v/>
      </c>
      <c r="D56" s="19" t="n">
        <f aca="false">'MEUS PROCESSOS'!Q56</f>
        <v>0</v>
      </c>
      <c r="E56" s="16"/>
      <c r="F56" s="16"/>
      <c r="G56" s="16"/>
      <c r="H56" s="16"/>
      <c r="I56" s="22"/>
      <c r="J56" s="23"/>
      <c r="K56" s="16"/>
      <c r="L56" s="24"/>
      <c r="M56" s="16"/>
      <c r="N56" s="24"/>
      <c r="O56" s="25" t="str">
        <f aca="false">IF(OR(E56="",F56=""),"",F56*IF(E56="Diária",Mult_Diaria,IF(E56="Semanal",Mult_Semanal,1)))</f>
        <v/>
      </c>
      <c r="P56" s="25" t="str">
        <f aca="false">IF(OR(O56="",G56="",H56=""),"",O56*G56/60*H56)</f>
        <v/>
      </c>
      <c r="Q56" s="26" t="str">
        <f aca="false">IF(I56&lt;&gt;"",I56,IF(Custo_Hora_Padrao&lt;&gt;"",Custo_Hora_Padrao,""))</f>
        <v/>
      </c>
      <c r="R56" s="27" t="str">
        <f aca="false">IF(OR(P56="",Q56=""),"",P56*Q56*12)</f>
        <v/>
      </c>
      <c r="S56" s="27" t="str">
        <f aca="false">IF(R56="","",R56*N(J56))</f>
        <v/>
      </c>
      <c r="T56" s="27" t="str">
        <f aca="false">IF(R56="","",N(K56)*N(L56)*12)</f>
        <v/>
      </c>
      <c r="U56" s="27" t="str">
        <f aca="false">IF(R56="","",(N(M56)*Q56*HE_Fator+N(N56))*12)</f>
        <v/>
      </c>
      <c r="V56" s="28" t="str">
        <f aca="false">IF(R56="","",R56+S56+T56+U56)</f>
        <v/>
      </c>
      <c r="W56" s="15" t="str">
        <f aca="false">IF(V56="","",IF(V56&lt;=Faixa_1,1,IF(V56&lt;=Faixa_2,2,IF(V56&lt;=Faixa_3,3,IF(V56&lt;=Faixa_4,4,5)))))</f>
        <v/>
      </c>
      <c r="X56" s="16"/>
      <c r="Y56" s="16"/>
      <c r="Z56" s="16"/>
      <c r="AA56" s="16"/>
      <c r="AB56" s="16"/>
      <c r="AC56" s="16"/>
      <c r="AD56" s="16"/>
      <c r="AE56" s="16"/>
      <c r="AF56" s="15" t="str">
        <f aca="false">IF(AB56&lt;&gt;"",AB56,IF('MEUS PROCESSOS'!N56="Alto",Sug_Alto,IF('MEUS PROCESSOS'!N56="Médio",Sug_Medio,IF('MEUS PROCESSOS'!N56="Baixo",Sug_Baixo,""))))</f>
        <v/>
      </c>
      <c r="AG56" s="15" t="str">
        <f aca="false">IF(AC56&lt;&gt;"",AC56,IF('MEUS PROCESSOS'!O56="Alto",Sug_Alto,IF('MEUS PROCESSOS'!O56="Médio",Sug_Medio,IF('MEUS PROCESSOS'!O56="Baixo",Sug_Baixo,""))))</f>
        <v/>
      </c>
      <c r="AH56" s="15" t="str">
        <f aca="false">IF(B56="","",IF(AND(AB56&lt;&gt;"",AC56&lt;&gt;""),"Avaliado pela empresa",IF(AND(AB56="",AC56="",'MEUS PROCESSOS'!N56&lt;&gt;""),"Sugestão da biblioteca",IF('MEUS PROCESSOS'!N56&lt;&gt;"","Parcialmente sugerido",IF(AND(AB56="",AC56=""),"","Avaliado pela empresa")))))</f>
        <v/>
      </c>
      <c r="AI56" s="18" t="str">
        <f aca="false">IF(B56="","",IF(AND((COUNTBLANK(X56:AA56)+COUNTBLANK(AD56:AE56)+(AF56="")*1+(AG56="")*1)=0,W56&lt;&gt;""),"Completo","Incompleto — faltam "&amp;IF((COUNTBLANK(X56:AA56)+COUNTBLANK(AD56:AE56)+(AF56="")*1+(AG56="")*1)&gt;0,(COUNTBLANK(X56:AA56)+COUNTBLANK(AD56:AE56)+(AF56="")*1+(AG56="")*1)&amp;IF((COUNTBLANK(X56:AA56)+COUNTBLANK(AD56:AE56)+(AF56="")*1+(AG56="")*1)=1," avaliação"," avaliações"),"")&amp;IF(AND((COUNTBLANK(X56:AA56)+COUNTBLANK(AD56:AE56)+(AF56="")*1+(AG56="")*1)&gt;0,W56=""), " e ","")&amp;IF(W56="","os dados de custo","")))</f>
        <v/>
      </c>
      <c r="AJ56" s="29" t="str">
        <f aca="false">IF($AI56&lt;&gt;"Completo","",W_Custo*(W56-1)/4+W_Imp*(X56-1)/4)</f>
        <v/>
      </c>
      <c r="AK56" s="29" t="str">
        <f aca="false">IF($AI56&lt;&gt;"Completo","",W_Pot*(MAX(AF56,AG56)-1)/4+W_Rep*(Y56-1)/4+W_Pad*(Z56-1)/4+W_Vol*(AA56-1)/4)</f>
        <v/>
      </c>
      <c r="AL56" s="29" t="str">
        <f aca="false">IF($AI56&lt;&gt;"Completo","",(1-F_Pen*(AE56-1)/4)*(1-F_Pen*(AD56-1)/4))</f>
        <v/>
      </c>
      <c r="AM56" s="29" t="str">
        <f aca="false">IF($AI56&lt;&gt;"Completo","",SQRT(AK56*AL56))</f>
        <v/>
      </c>
      <c r="AN56" s="30" t="str">
        <f aca="false">IF($AI56&lt;&gt;"Completo","",100*AJ56^Exp_V*AM56^Exp_Vb)</f>
        <v/>
      </c>
      <c r="AO56" s="15" t="str">
        <f aca="false">IF(AN56="","",IF(AJ56&gt;=Corte,IF(AM56&gt;=Corte,"Fazer primeiro","Projeto estratégico"),IF(AM56&gt;=Corte,"Quick win","Evitar")))</f>
        <v/>
      </c>
      <c r="AP56" s="15" t="str">
        <f aca="false">IF(AN56="","",IF(OR(AD56&gt;=Trava_Nota,AE56&gt;=Trava_Nota),"SIM","—"))</f>
        <v/>
      </c>
      <c r="AQ56" s="15" t="str">
        <f aca="false">IF(AN56="","",IF(MAX(AF56,AG56)&lt;=Rota_Nota,"SIM","—"))</f>
        <v/>
      </c>
      <c r="AR56" s="15" t="str">
        <f aca="false">IF(AN56="","",IF(Z56&lt;=Rota_Nota,"SIM","—"))</f>
        <v/>
      </c>
      <c r="AS56" s="15" t="str">
        <f aca="false">IF(AN56="","",IF(AP56="SIM",IF(AJ56&gt;=Corte,"Projeto estratégico","Evitar"),AO56))</f>
        <v/>
      </c>
      <c r="AT56" s="15" t="str">
        <f aca="false">IF(AN56="","",IF(OR(AND(AJ56&gt;=Fr_Min,AJ56&lt;=Fr_Max),AND(AM56&gt;=Fr_Min,AM56&lt;=Fr_Max)),"Revisar",""))</f>
        <v/>
      </c>
      <c r="AU56" s="15" t="str">
        <f aca="false">IF(BE56="","",COUNTIF($BE$6:$BE$105,"&gt;"&amp;BE56)+1)</f>
        <v/>
      </c>
      <c r="AV56" s="16"/>
      <c r="AW56" s="15" t="str">
        <f aca="false">IF(B56="","",IF(AV56&lt;&gt;"",AV56,'MEUS PROCESSOS'!M56))</f>
        <v/>
      </c>
      <c r="AX56" s="23"/>
      <c r="AY56" s="31" t="str">
        <f aca="false">IF(AW56="","",IF(AX56&lt;&gt;"",AX56,IF(AW56="S",Red_S,IF(AW56="P",Red_P,IF(AW56="A",Red_A,IF(AW56="IA",Red_IA,""))))))</f>
        <v/>
      </c>
      <c r="AZ56" s="27" t="str">
        <f aca="false">IF(OR(V56="",AY56=""),"",(T56+U56)*AY56)</f>
        <v/>
      </c>
      <c r="BA56" s="27" t="str">
        <f aca="false">IF(OR(V56="",AY56=""),"",(R56+S56)*AY56)</f>
        <v/>
      </c>
      <c r="BB56" s="27" t="str">
        <f aca="false">IF(AZ56="","",AZ56+BA56)</f>
        <v/>
      </c>
      <c r="BC56" s="27" t="str">
        <f aca="false">IF(OR(P56="",AY56=""),"",(P56*(1+N(J56))+N(M56))*12*AY56)</f>
        <v/>
      </c>
      <c r="BD56" s="18" t="str">
        <f aca="false">IF(B56="","",IF(AND(AW56="E",AX56=""),"Eliminar: informe quanto do esforço atual deixa de existir (0% a 100%). Não há percentual inicial sugerido.",IF(AND(AX56="",AY56&lt;&gt;""),"Redução pela faixa inicial para simulação","")))</f>
        <v/>
      </c>
      <c r="BE56" s="19" t="str">
        <f aca="false">IF(AND(AN56&lt;&gt;"",D56=1),AN56+(1000-A56)/1000000,"")</f>
        <v/>
      </c>
    </row>
    <row r="57" customFormat="false" ht="15" hidden="false" customHeight="false" outlineLevel="0" collapsed="false">
      <c r="A57" s="15" t="n">
        <v>52</v>
      </c>
      <c r="B57" s="18" t="str">
        <f aca="false">IF('MEUS PROCESSOS'!J57="","",'MEUS PROCESSOS'!J57)</f>
        <v/>
      </c>
      <c r="C57" s="15" t="str">
        <f aca="false">IF('MEUS PROCESSOS'!K57="","",'MEUS PROCESSOS'!K57)</f>
        <v/>
      </c>
      <c r="D57" s="19" t="n">
        <f aca="false">'MEUS PROCESSOS'!Q57</f>
        <v>0</v>
      </c>
      <c r="E57" s="16"/>
      <c r="F57" s="16"/>
      <c r="G57" s="16"/>
      <c r="H57" s="16"/>
      <c r="I57" s="22"/>
      <c r="J57" s="23"/>
      <c r="K57" s="16"/>
      <c r="L57" s="24"/>
      <c r="M57" s="16"/>
      <c r="N57" s="24"/>
      <c r="O57" s="25" t="str">
        <f aca="false">IF(OR(E57="",F57=""),"",F57*IF(E57="Diária",Mult_Diaria,IF(E57="Semanal",Mult_Semanal,1)))</f>
        <v/>
      </c>
      <c r="P57" s="25" t="str">
        <f aca="false">IF(OR(O57="",G57="",H57=""),"",O57*G57/60*H57)</f>
        <v/>
      </c>
      <c r="Q57" s="26" t="str">
        <f aca="false">IF(I57&lt;&gt;"",I57,IF(Custo_Hora_Padrao&lt;&gt;"",Custo_Hora_Padrao,""))</f>
        <v/>
      </c>
      <c r="R57" s="27" t="str">
        <f aca="false">IF(OR(P57="",Q57=""),"",P57*Q57*12)</f>
        <v/>
      </c>
      <c r="S57" s="27" t="str">
        <f aca="false">IF(R57="","",R57*N(J57))</f>
        <v/>
      </c>
      <c r="T57" s="27" t="str">
        <f aca="false">IF(R57="","",N(K57)*N(L57)*12)</f>
        <v/>
      </c>
      <c r="U57" s="27" t="str">
        <f aca="false">IF(R57="","",(N(M57)*Q57*HE_Fator+N(N57))*12)</f>
        <v/>
      </c>
      <c r="V57" s="28" t="str">
        <f aca="false">IF(R57="","",R57+S57+T57+U57)</f>
        <v/>
      </c>
      <c r="W57" s="15" t="str">
        <f aca="false">IF(V57="","",IF(V57&lt;=Faixa_1,1,IF(V57&lt;=Faixa_2,2,IF(V57&lt;=Faixa_3,3,IF(V57&lt;=Faixa_4,4,5)))))</f>
        <v/>
      </c>
      <c r="X57" s="16"/>
      <c r="Y57" s="16"/>
      <c r="Z57" s="16"/>
      <c r="AA57" s="16"/>
      <c r="AB57" s="16"/>
      <c r="AC57" s="16"/>
      <c r="AD57" s="16"/>
      <c r="AE57" s="16"/>
      <c r="AF57" s="15" t="str">
        <f aca="false">IF(AB57&lt;&gt;"",AB57,IF('MEUS PROCESSOS'!N57="Alto",Sug_Alto,IF('MEUS PROCESSOS'!N57="Médio",Sug_Medio,IF('MEUS PROCESSOS'!N57="Baixo",Sug_Baixo,""))))</f>
        <v/>
      </c>
      <c r="AG57" s="15" t="str">
        <f aca="false">IF(AC57&lt;&gt;"",AC57,IF('MEUS PROCESSOS'!O57="Alto",Sug_Alto,IF('MEUS PROCESSOS'!O57="Médio",Sug_Medio,IF('MEUS PROCESSOS'!O57="Baixo",Sug_Baixo,""))))</f>
        <v/>
      </c>
      <c r="AH57" s="15" t="str">
        <f aca="false">IF(B57="","",IF(AND(AB57&lt;&gt;"",AC57&lt;&gt;""),"Avaliado pela empresa",IF(AND(AB57="",AC57="",'MEUS PROCESSOS'!N57&lt;&gt;""),"Sugestão da biblioteca",IF('MEUS PROCESSOS'!N57&lt;&gt;"","Parcialmente sugerido",IF(AND(AB57="",AC57=""),"","Avaliado pela empresa")))))</f>
        <v/>
      </c>
      <c r="AI57" s="18" t="str">
        <f aca="false">IF(B57="","",IF(AND((COUNTBLANK(X57:AA57)+COUNTBLANK(AD57:AE57)+(AF57="")*1+(AG57="")*1)=0,W57&lt;&gt;""),"Completo","Incompleto — faltam "&amp;IF((COUNTBLANK(X57:AA57)+COUNTBLANK(AD57:AE57)+(AF57="")*1+(AG57="")*1)&gt;0,(COUNTBLANK(X57:AA57)+COUNTBLANK(AD57:AE57)+(AF57="")*1+(AG57="")*1)&amp;IF((COUNTBLANK(X57:AA57)+COUNTBLANK(AD57:AE57)+(AF57="")*1+(AG57="")*1)=1," avaliação"," avaliações"),"")&amp;IF(AND((COUNTBLANK(X57:AA57)+COUNTBLANK(AD57:AE57)+(AF57="")*1+(AG57="")*1)&gt;0,W57=""), " e ","")&amp;IF(W57="","os dados de custo","")))</f>
        <v/>
      </c>
      <c r="AJ57" s="29" t="str">
        <f aca="false">IF($AI57&lt;&gt;"Completo","",W_Custo*(W57-1)/4+W_Imp*(X57-1)/4)</f>
        <v/>
      </c>
      <c r="AK57" s="29" t="str">
        <f aca="false">IF($AI57&lt;&gt;"Completo","",W_Pot*(MAX(AF57,AG57)-1)/4+W_Rep*(Y57-1)/4+W_Pad*(Z57-1)/4+W_Vol*(AA57-1)/4)</f>
        <v/>
      </c>
      <c r="AL57" s="29" t="str">
        <f aca="false">IF($AI57&lt;&gt;"Completo","",(1-F_Pen*(AE57-1)/4)*(1-F_Pen*(AD57-1)/4))</f>
        <v/>
      </c>
      <c r="AM57" s="29" t="str">
        <f aca="false">IF($AI57&lt;&gt;"Completo","",SQRT(AK57*AL57))</f>
        <v/>
      </c>
      <c r="AN57" s="30" t="str">
        <f aca="false">IF($AI57&lt;&gt;"Completo","",100*AJ57^Exp_V*AM57^Exp_Vb)</f>
        <v/>
      </c>
      <c r="AO57" s="15" t="str">
        <f aca="false">IF(AN57="","",IF(AJ57&gt;=Corte,IF(AM57&gt;=Corte,"Fazer primeiro","Projeto estratégico"),IF(AM57&gt;=Corte,"Quick win","Evitar")))</f>
        <v/>
      </c>
      <c r="AP57" s="15" t="str">
        <f aca="false">IF(AN57="","",IF(OR(AD57&gt;=Trava_Nota,AE57&gt;=Trava_Nota),"SIM","—"))</f>
        <v/>
      </c>
      <c r="AQ57" s="15" t="str">
        <f aca="false">IF(AN57="","",IF(MAX(AF57,AG57)&lt;=Rota_Nota,"SIM","—"))</f>
        <v/>
      </c>
      <c r="AR57" s="15" t="str">
        <f aca="false">IF(AN57="","",IF(Z57&lt;=Rota_Nota,"SIM","—"))</f>
        <v/>
      </c>
      <c r="AS57" s="15" t="str">
        <f aca="false">IF(AN57="","",IF(AP57="SIM",IF(AJ57&gt;=Corte,"Projeto estratégico","Evitar"),AO57))</f>
        <v/>
      </c>
      <c r="AT57" s="15" t="str">
        <f aca="false">IF(AN57="","",IF(OR(AND(AJ57&gt;=Fr_Min,AJ57&lt;=Fr_Max),AND(AM57&gt;=Fr_Min,AM57&lt;=Fr_Max)),"Revisar",""))</f>
        <v/>
      </c>
      <c r="AU57" s="15" t="str">
        <f aca="false">IF(BE57="","",COUNTIF($BE$6:$BE$105,"&gt;"&amp;BE57)+1)</f>
        <v/>
      </c>
      <c r="AV57" s="16"/>
      <c r="AW57" s="15" t="str">
        <f aca="false">IF(B57="","",IF(AV57&lt;&gt;"",AV57,'MEUS PROCESSOS'!M57))</f>
        <v/>
      </c>
      <c r="AX57" s="23"/>
      <c r="AY57" s="31" t="str">
        <f aca="false">IF(AW57="","",IF(AX57&lt;&gt;"",AX57,IF(AW57="S",Red_S,IF(AW57="P",Red_P,IF(AW57="A",Red_A,IF(AW57="IA",Red_IA,""))))))</f>
        <v/>
      </c>
      <c r="AZ57" s="27" t="str">
        <f aca="false">IF(OR(V57="",AY57=""),"",(T57+U57)*AY57)</f>
        <v/>
      </c>
      <c r="BA57" s="27" t="str">
        <f aca="false">IF(OR(V57="",AY57=""),"",(R57+S57)*AY57)</f>
        <v/>
      </c>
      <c r="BB57" s="27" t="str">
        <f aca="false">IF(AZ57="","",AZ57+BA57)</f>
        <v/>
      </c>
      <c r="BC57" s="27" t="str">
        <f aca="false">IF(OR(P57="",AY57=""),"",(P57*(1+N(J57))+N(M57))*12*AY57)</f>
        <v/>
      </c>
      <c r="BD57" s="18" t="str">
        <f aca="false">IF(B57="","",IF(AND(AW57="E",AX57=""),"Eliminar: informe quanto do esforço atual deixa de existir (0% a 100%). Não há percentual inicial sugerido.",IF(AND(AX57="",AY57&lt;&gt;""),"Redução pela faixa inicial para simulação","")))</f>
        <v/>
      </c>
      <c r="BE57" s="19" t="str">
        <f aca="false">IF(AND(AN57&lt;&gt;"",D57=1),AN57+(1000-A57)/1000000,"")</f>
        <v/>
      </c>
    </row>
    <row r="58" customFormat="false" ht="15" hidden="false" customHeight="false" outlineLevel="0" collapsed="false">
      <c r="A58" s="15" t="n">
        <v>53</v>
      </c>
      <c r="B58" s="18" t="str">
        <f aca="false">IF('MEUS PROCESSOS'!J58="","",'MEUS PROCESSOS'!J58)</f>
        <v/>
      </c>
      <c r="C58" s="15" t="str">
        <f aca="false">IF('MEUS PROCESSOS'!K58="","",'MEUS PROCESSOS'!K58)</f>
        <v/>
      </c>
      <c r="D58" s="19" t="n">
        <f aca="false">'MEUS PROCESSOS'!Q58</f>
        <v>0</v>
      </c>
      <c r="E58" s="16"/>
      <c r="F58" s="16"/>
      <c r="G58" s="16"/>
      <c r="H58" s="16"/>
      <c r="I58" s="22"/>
      <c r="J58" s="23"/>
      <c r="K58" s="16"/>
      <c r="L58" s="24"/>
      <c r="M58" s="16"/>
      <c r="N58" s="24"/>
      <c r="O58" s="25" t="str">
        <f aca="false">IF(OR(E58="",F58=""),"",F58*IF(E58="Diária",Mult_Diaria,IF(E58="Semanal",Mult_Semanal,1)))</f>
        <v/>
      </c>
      <c r="P58" s="25" t="str">
        <f aca="false">IF(OR(O58="",G58="",H58=""),"",O58*G58/60*H58)</f>
        <v/>
      </c>
      <c r="Q58" s="26" t="str">
        <f aca="false">IF(I58&lt;&gt;"",I58,IF(Custo_Hora_Padrao&lt;&gt;"",Custo_Hora_Padrao,""))</f>
        <v/>
      </c>
      <c r="R58" s="27" t="str">
        <f aca="false">IF(OR(P58="",Q58=""),"",P58*Q58*12)</f>
        <v/>
      </c>
      <c r="S58" s="27" t="str">
        <f aca="false">IF(R58="","",R58*N(J58))</f>
        <v/>
      </c>
      <c r="T58" s="27" t="str">
        <f aca="false">IF(R58="","",N(K58)*N(L58)*12)</f>
        <v/>
      </c>
      <c r="U58" s="27" t="str">
        <f aca="false">IF(R58="","",(N(M58)*Q58*HE_Fator+N(N58))*12)</f>
        <v/>
      </c>
      <c r="V58" s="28" t="str">
        <f aca="false">IF(R58="","",R58+S58+T58+U58)</f>
        <v/>
      </c>
      <c r="W58" s="15" t="str">
        <f aca="false">IF(V58="","",IF(V58&lt;=Faixa_1,1,IF(V58&lt;=Faixa_2,2,IF(V58&lt;=Faixa_3,3,IF(V58&lt;=Faixa_4,4,5)))))</f>
        <v/>
      </c>
      <c r="X58" s="16"/>
      <c r="Y58" s="16"/>
      <c r="Z58" s="16"/>
      <c r="AA58" s="16"/>
      <c r="AB58" s="16"/>
      <c r="AC58" s="16"/>
      <c r="AD58" s="16"/>
      <c r="AE58" s="16"/>
      <c r="AF58" s="15" t="str">
        <f aca="false">IF(AB58&lt;&gt;"",AB58,IF('MEUS PROCESSOS'!N58="Alto",Sug_Alto,IF('MEUS PROCESSOS'!N58="Médio",Sug_Medio,IF('MEUS PROCESSOS'!N58="Baixo",Sug_Baixo,""))))</f>
        <v/>
      </c>
      <c r="AG58" s="15" t="str">
        <f aca="false">IF(AC58&lt;&gt;"",AC58,IF('MEUS PROCESSOS'!O58="Alto",Sug_Alto,IF('MEUS PROCESSOS'!O58="Médio",Sug_Medio,IF('MEUS PROCESSOS'!O58="Baixo",Sug_Baixo,""))))</f>
        <v/>
      </c>
      <c r="AH58" s="15" t="str">
        <f aca="false">IF(B58="","",IF(AND(AB58&lt;&gt;"",AC58&lt;&gt;""),"Avaliado pela empresa",IF(AND(AB58="",AC58="",'MEUS PROCESSOS'!N58&lt;&gt;""),"Sugestão da biblioteca",IF('MEUS PROCESSOS'!N58&lt;&gt;"","Parcialmente sugerido",IF(AND(AB58="",AC58=""),"","Avaliado pela empresa")))))</f>
        <v/>
      </c>
      <c r="AI58" s="18" t="str">
        <f aca="false">IF(B58="","",IF(AND((COUNTBLANK(X58:AA58)+COUNTBLANK(AD58:AE58)+(AF58="")*1+(AG58="")*1)=0,W58&lt;&gt;""),"Completo","Incompleto — faltam "&amp;IF((COUNTBLANK(X58:AA58)+COUNTBLANK(AD58:AE58)+(AF58="")*1+(AG58="")*1)&gt;0,(COUNTBLANK(X58:AA58)+COUNTBLANK(AD58:AE58)+(AF58="")*1+(AG58="")*1)&amp;IF((COUNTBLANK(X58:AA58)+COUNTBLANK(AD58:AE58)+(AF58="")*1+(AG58="")*1)=1," avaliação"," avaliações"),"")&amp;IF(AND((COUNTBLANK(X58:AA58)+COUNTBLANK(AD58:AE58)+(AF58="")*1+(AG58="")*1)&gt;0,W58=""), " e ","")&amp;IF(W58="","os dados de custo","")))</f>
        <v/>
      </c>
      <c r="AJ58" s="29" t="str">
        <f aca="false">IF($AI58&lt;&gt;"Completo","",W_Custo*(W58-1)/4+W_Imp*(X58-1)/4)</f>
        <v/>
      </c>
      <c r="AK58" s="29" t="str">
        <f aca="false">IF($AI58&lt;&gt;"Completo","",W_Pot*(MAX(AF58,AG58)-1)/4+W_Rep*(Y58-1)/4+W_Pad*(Z58-1)/4+W_Vol*(AA58-1)/4)</f>
        <v/>
      </c>
      <c r="AL58" s="29" t="str">
        <f aca="false">IF($AI58&lt;&gt;"Completo","",(1-F_Pen*(AE58-1)/4)*(1-F_Pen*(AD58-1)/4))</f>
        <v/>
      </c>
      <c r="AM58" s="29" t="str">
        <f aca="false">IF($AI58&lt;&gt;"Completo","",SQRT(AK58*AL58))</f>
        <v/>
      </c>
      <c r="AN58" s="30" t="str">
        <f aca="false">IF($AI58&lt;&gt;"Completo","",100*AJ58^Exp_V*AM58^Exp_Vb)</f>
        <v/>
      </c>
      <c r="AO58" s="15" t="str">
        <f aca="false">IF(AN58="","",IF(AJ58&gt;=Corte,IF(AM58&gt;=Corte,"Fazer primeiro","Projeto estratégico"),IF(AM58&gt;=Corte,"Quick win","Evitar")))</f>
        <v/>
      </c>
      <c r="AP58" s="15" t="str">
        <f aca="false">IF(AN58="","",IF(OR(AD58&gt;=Trava_Nota,AE58&gt;=Trava_Nota),"SIM","—"))</f>
        <v/>
      </c>
      <c r="AQ58" s="15" t="str">
        <f aca="false">IF(AN58="","",IF(MAX(AF58,AG58)&lt;=Rota_Nota,"SIM","—"))</f>
        <v/>
      </c>
      <c r="AR58" s="15" t="str">
        <f aca="false">IF(AN58="","",IF(Z58&lt;=Rota_Nota,"SIM","—"))</f>
        <v/>
      </c>
      <c r="AS58" s="15" t="str">
        <f aca="false">IF(AN58="","",IF(AP58="SIM",IF(AJ58&gt;=Corte,"Projeto estratégico","Evitar"),AO58))</f>
        <v/>
      </c>
      <c r="AT58" s="15" t="str">
        <f aca="false">IF(AN58="","",IF(OR(AND(AJ58&gt;=Fr_Min,AJ58&lt;=Fr_Max),AND(AM58&gt;=Fr_Min,AM58&lt;=Fr_Max)),"Revisar",""))</f>
        <v/>
      </c>
      <c r="AU58" s="15" t="str">
        <f aca="false">IF(BE58="","",COUNTIF($BE$6:$BE$105,"&gt;"&amp;BE58)+1)</f>
        <v/>
      </c>
      <c r="AV58" s="16"/>
      <c r="AW58" s="15" t="str">
        <f aca="false">IF(B58="","",IF(AV58&lt;&gt;"",AV58,'MEUS PROCESSOS'!M58))</f>
        <v/>
      </c>
      <c r="AX58" s="23"/>
      <c r="AY58" s="31" t="str">
        <f aca="false">IF(AW58="","",IF(AX58&lt;&gt;"",AX58,IF(AW58="S",Red_S,IF(AW58="P",Red_P,IF(AW58="A",Red_A,IF(AW58="IA",Red_IA,""))))))</f>
        <v/>
      </c>
      <c r="AZ58" s="27" t="str">
        <f aca="false">IF(OR(V58="",AY58=""),"",(T58+U58)*AY58)</f>
        <v/>
      </c>
      <c r="BA58" s="27" t="str">
        <f aca="false">IF(OR(V58="",AY58=""),"",(R58+S58)*AY58)</f>
        <v/>
      </c>
      <c r="BB58" s="27" t="str">
        <f aca="false">IF(AZ58="","",AZ58+BA58)</f>
        <v/>
      </c>
      <c r="BC58" s="27" t="str">
        <f aca="false">IF(OR(P58="",AY58=""),"",(P58*(1+N(J58))+N(M58))*12*AY58)</f>
        <v/>
      </c>
      <c r="BD58" s="18" t="str">
        <f aca="false">IF(B58="","",IF(AND(AW58="E",AX58=""),"Eliminar: informe quanto do esforço atual deixa de existir (0% a 100%). Não há percentual inicial sugerido.",IF(AND(AX58="",AY58&lt;&gt;""),"Redução pela faixa inicial para simulação","")))</f>
        <v/>
      </c>
      <c r="BE58" s="19" t="str">
        <f aca="false">IF(AND(AN58&lt;&gt;"",D58=1),AN58+(1000-A58)/1000000,"")</f>
        <v/>
      </c>
    </row>
    <row r="59" customFormat="false" ht="15" hidden="false" customHeight="false" outlineLevel="0" collapsed="false">
      <c r="A59" s="15" t="n">
        <v>54</v>
      </c>
      <c r="B59" s="18" t="str">
        <f aca="false">IF('MEUS PROCESSOS'!J59="","",'MEUS PROCESSOS'!J59)</f>
        <v/>
      </c>
      <c r="C59" s="15" t="str">
        <f aca="false">IF('MEUS PROCESSOS'!K59="","",'MEUS PROCESSOS'!K59)</f>
        <v/>
      </c>
      <c r="D59" s="19" t="n">
        <f aca="false">'MEUS PROCESSOS'!Q59</f>
        <v>0</v>
      </c>
      <c r="E59" s="16"/>
      <c r="F59" s="16"/>
      <c r="G59" s="16"/>
      <c r="H59" s="16"/>
      <c r="I59" s="22"/>
      <c r="J59" s="23"/>
      <c r="K59" s="16"/>
      <c r="L59" s="24"/>
      <c r="M59" s="16"/>
      <c r="N59" s="24"/>
      <c r="O59" s="25" t="str">
        <f aca="false">IF(OR(E59="",F59=""),"",F59*IF(E59="Diária",Mult_Diaria,IF(E59="Semanal",Mult_Semanal,1)))</f>
        <v/>
      </c>
      <c r="P59" s="25" t="str">
        <f aca="false">IF(OR(O59="",G59="",H59=""),"",O59*G59/60*H59)</f>
        <v/>
      </c>
      <c r="Q59" s="26" t="str">
        <f aca="false">IF(I59&lt;&gt;"",I59,IF(Custo_Hora_Padrao&lt;&gt;"",Custo_Hora_Padrao,""))</f>
        <v/>
      </c>
      <c r="R59" s="27" t="str">
        <f aca="false">IF(OR(P59="",Q59=""),"",P59*Q59*12)</f>
        <v/>
      </c>
      <c r="S59" s="27" t="str">
        <f aca="false">IF(R59="","",R59*N(J59))</f>
        <v/>
      </c>
      <c r="T59" s="27" t="str">
        <f aca="false">IF(R59="","",N(K59)*N(L59)*12)</f>
        <v/>
      </c>
      <c r="U59" s="27" t="str">
        <f aca="false">IF(R59="","",(N(M59)*Q59*HE_Fator+N(N59))*12)</f>
        <v/>
      </c>
      <c r="V59" s="28" t="str">
        <f aca="false">IF(R59="","",R59+S59+T59+U59)</f>
        <v/>
      </c>
      <c r="W59" s="15" t="str">
        <f aca="false">IF(V59="","",IF(V59&lt;=Faixa_1,1,IF(V59&lt;=Faixa_2,2,IF(V59&lt;=Faixa_3,3,IF(V59&lt;=Faixa_4,4,5)))))</f>
        <v/>
      </c>
      <c r="X59" s="16"/>
      <c r="Y59" s="16"/>
      <c r="Z59" s="16"/>
      <c r="AA59" s="16"/>
      <c r="AB59" s="16"/>
      <c r="AC59" s="16"/>
      <c r="AD59" s="16"/>
      <c r="AE59" s="16"/>
      <c r="AF59" s="15" t="str">
        <f aca="false">IF(AB59&lt;&gt;"",AB59,IF('MEUS PROCESSOS'!N59="Alto",Sug_Alto,IF('MEUS PROCESSOS'!N59="Médio",Sug_Medio,IF('MEUS PROCESSOS'!N59="Baixo",Sug_Baixo,""))))</f>
        <v/>
      </c>
      <c r="AG59" s="15" t="str">
        <f aca="false">IF(AC59&lt;&gt;"",AC59,IF('MEUS PROCESSOS'!O59="Alto",Sug_Alto,IF('MEUS PROCESSOS'!O59="Médio",Sug_Medio,IF('MEUS PROCESSOS'!O59="Baixo",Sug_Baixo,""))))</f>
        <v/>
      </c>
      <c r="AH59" s="15" t="str">
        <f aca="false">IF(B59="","",IF(AND(AB59&lt;&gt;"",AC59&lt;&gt;""),"Avaliado pela empresa",IF(AND(AB59="",AC59="",'MEUS PROCESSOS'!N59&lt;&gt;""),"Sugestão da biblioteca",IF('MEUS PROCESSOS'!N59&lt;&gt;"","Parcialmente sugerido",IF(AND(AB59="",AC59=""),"","Avaliado pela empresa")))))</f>
        <v/>
      </c>
      <c r="AI59" s="18" t="str">
        <f aca="false">IF(B59="","",IF(AND((COUNTBLANK(X59:AA59)+COUNTBLANK(AD59:AE59)+(AF59="")*1+(AG59="")*1)=0,W59&lt;&gt;""),"Completo","Incompleto — faltam "&amp;IF((COUNTBLANK(X59:AA59)+COUNTBLANK(AD59:AE59)+(AF59="")*1+(AG59="")*1)&gt;0,(COUNTBLANK(X59:AA59)+COUNTBLANK(AD59:AE59)+(AF59="")*1+(AG59="")*1)&amp;IF((COUNTBLANK(X59:AA59)+COUNTBLANK(AD59:AE59)+(AF59="")*1+(AG59="")*1)=1," avaliação"," avaliações"),"")&amp;IF(AND((COUNTBLANK(X59:AA59)+COUNTBLANK(AD59:AE59)+(AF59="")*1+(AG59="")*1)&gt;0,W59=""), " e ","")&amp;IF(W59="","os dados de custo","")))</f>
        <v/>
      </c>
      <c r="AJ59" s="29" t="str">
        <f aca="false">IF($AI59&lt;&gt;"Completo","",W_Custo*(W59-1)/4+W_Imp*(X59-1)/4)</f>
        <v/>
      </c>
      <c r="AK59" s="29" t="str">
        <f aca="false">IF($AI59&lt;&gt;"Completo","",W_Pot*(MAX(AF59,AG59)-1)/4+W_Rep*(Y59-1)/4+W_Pad*(Z59-1)/4+W_Vol*(AA59-1)/4)</f>
        <v/>
      </c>
      <c r="AL59" s="29" t="str">
        <f aca="false">IF($AI59&lt;&gt;"Completo","",(1-F_Pen*(AE59-1)/4)*(1-F_Pen*(AD59-1)/4))</f>
        <v/>
      </c>
      <c r="AM59" s="29" t="str">
        <f aca="false">IF($AI59&lt;&gt;"Completo","",SQRT(AK59*AL59))</f>
        <v/>
      </c>
      <c r="AN59" s="30" t="str">
        <f aca="false">IF($AI59&lt;&gt;"Completo","",100*AJ59^Exp_V*AM59^Exp_Vb)</f>
        <v/>
      </c>
      <c r="AO59" s="15" t="str">
        <f aca="false">IF(AN59="","",IF(AJ59&gt;=Corte,IF(AM59&gt;=Corte,"Fazer primeiro","Projeto estratégico"),IF(AM59&gt;=Corte,"Quick win","Evitar")))</f>
        <v/>
      </c>
      <c r="AP59" s="15" t="str">
        <f aca="false">IF(AN59="","",IF(OR(AD59&gt;=Trava_Nota,AE59&gt;=Trava_Nota),"SIM","—"))</f>
        <v/>
      </c>
      <c r="AQ59" s="15" t="str">
        <f aca="false">IF(AN59="","",IF(MAX(AF59,AG59)&lt;=Rota_Nota,"SIM","—"))</f>
        <v/>
      </c>
      <c r="AR59" s="15" t="str">
        <f aca="false">IF(AN59="","",IF(Z59&lt;=Rota_Nota,"SIM","—"))</f>
        <v/>
      </c>
      <c r="AS59" s="15" t="str">
        <f aca="false">IF(AN59="","",IF(AP59="SIM",IF(AJ59&gt;=Corte,"Projeto estratégico","Evitar"),AO59))</f>
        <v/>
      </c>
      <c r="AT59" s="15" t="str">
        <f aca="false">IF(AN59="","",IF(OR(AND(AJ59&gt;=Fr_Min,AJ59&lt;=Fr_Max),AND(AM59&gt;=Fr_Min,AM59&lt;=Fr_Max)),"Revisar",""))</f>
        <v/>
      </c>
      <c r="AU59" s="15" t="str">
        <f aca="false">IF(BE59="","",COUNTIF($BE$6:$BE$105,"&gt;"&amp;BE59)+1)</f>
        <v/>
      </c>
      <c r="AV59" s="16"/>
      <c r="AW59" s="15" t="str">
        <f aca="false">IF(B59="","",IF(AV59&lt;&gt;"",AV59,'MEUS PROCESSOS'!M59))</f>
        <v/>
      </c>
      <c r="AX59" s="23"/>
      <c r="AY59" s="31" t="str">
        <f aca="false">IF(AW59="","",IF(AX59&lt;&gt;"",AX59,IF(AW59="S",Red_S,IF(AW59="P",Red_P,IF(AW59="A",Red_A,IF(AW59="IA",Red_IA,""))))))</f>
        <v/>
      </c>
      <c r="AZ59" s="27" t="str">
        <f aca="false">IF(OR(V59="",AY59=""),"",(T59+U59)*AY59)</f>
        <v/>
      </c>
      <c r="BA59" s="27" t="str">
        <f aca="false">IF(OR(V59="",AY59=""),"",(R59+S59)*AY59)</f>
        <v/>
      </c>
      <c r="BB59" s="27" t="str">
        <f aca="false">IF(AZ59="","",AZ59+BA59)</f>
        <v/>
      </c>
      <c r="BC59" s="27" t="str">
        <f aca="false">IF(OR(P59="",AY59=""),"",(P59*(1+N(J59))+N(M59))*12*AY59)</f>
        <v/>
      </c>
      <c r="BD59" s="18" t="str">
        <f aca="false">IF(B59="","",IF(AND(AW59="E",AX59=""),"Eliminar: informe quanto do esforço atual deixa de existir (0% a 100%). Não há percentual inicial sugerido.",IF(AND(AX59="",AY59&lt;&gt;""),"Redução pela faixa inicial para simulação","")))</f>
        <v/>
      </c>
      <c r="BE59" s="19" t="str">
        <f aca="false">IF(AND(AN59&lt;&gt;"",D59=1),AN59+(1000-A59)/1000000,"")</f>
        <v/>
      </c>
    </row>
    <row r="60" customFormat="false" ht="15" hidden="false" customHeight="false" outlineLevel="0" collapsed="false">
      <c r="A60" s="15" t="n">
        <v>55</v>
      </c>
      <c r="B60" s="18" t="str">
        <f aca="false">IF('MEUS PROCESSOS'!J60="","",'MEUS PROCESSOS'!J60)</f>
        <v/>
      </c>
      <c r="C60" s="15" t="str">
        <f aca="false">IF('MEUS PROCESSOS'!K60="","",'MEUS PROCESSOS'!K60)</f>
        <v/>
      </c>
      <c r="D60" s="19" t="n">
        <f aca="false">'MEUS PROCESSOS'!Q60</f>
        <v>0</v>
      </c>
      <c r="E60" s="16"/>
      <c r="F60" s="16"/>
      <c r="G60" s="16"/>
      <c r="H60" s="16"/>
      <c r="I60" s="22"/>
      <c r="J60" s="23"/>
      <c r="K60" s="16"/>
      <c r="L60" s="24"/>
      <c r="M60" s="16"/>
      <c r="N60" s="24"/>
      <c r="O60" s="25" t="str">
        <f aca="false">IF(OR(E60="",F60=""),"",F60*IF(E60="Diária",Mult_Diaria,IF(E60="Semanal",Mult_Semanal,1)))</f>
        <v/>
      </c>
      <c r="P60" s="25" t="str">
        <f aca="false">IF(OR(O60="",G60="",H60=""),"",O60*G60/60*H60)</f>
        <v/>
      </c>
      <c r="Q60" s="26" t="str">
        <f aca="false">IF(I60&lt;&gt;"",I60,IF(Custo_Hora_Padrao&lt;&gt;"",Custo_Hora_Padrao,""))</f>
        <v/>
      </c>
      <c r="R60" s="27" t="str">
        <f aca="false">IF(OR(P60="",Q60=""),"",P60*Q60*12)</f>
        <v/>
      </c>
      <c r="S60" s="27" t="str">
        <f aca="false">IF(R60="","",R60*N(J60))</f>
        <v/>
      </c>
      <c r="T60" s="27" t="str">
        <f aca="false">IF(R60="","",N(K60)*N(L60)*12)</f>
        <v/>
      </c>
      <c r="U60" s="27" t="str">
        <f aca="false">IF(R60="","",(N(M60)*Q60*HE_Fator+N(N60))*12)</f>
        <v/>
      </c>
      <c r="V60" s="28" t="str">
        <f aca="false">IF(R60="","",R60+S60+T60+U60)</f>
        <v/>
      </c>
      <c r="W60" s="15" t="str">
        <f aca="false">IF(V60="","",IF(V60&lt;=Faixa_1,1,IF(V60&lt;=Faixa_2,2,IF(V60&lt;=Faixa_3,3,IF(V60&lt;=Faixa_4,4,5)))))</f>
        <v/>
      </c>
      <c r="X60" s="16"/>
      <c r="Y60" s="16"/>
      <c r="Z60" s="16"/>
      <c r="AA60" s="16"/>
      <c r="AB60" s="16"/>
      <c r="AC60" s="16"/>
      <c r="AD60" s="16"/>
      <c r="AE60" s="16"/>
      <c r="AF60" s="15" t="str">
        <f aca="false">IF(AB60&lt;&gt;"",AB60,IF('MEUS PROCESSOS'!N60="Alto",Sug_Alto,IF('MEUS PROCESSOS'!N60="Médio",Sug_Medio,IF('MEUS PROCESSOS'!N60="Baixo",Sug_Baixo,""))))</f>
        <v/>
      </c>
      <c r="AG60" s="15" t="str">
        <f aca="false">IF(AC60&lt;&gt;"",AC60,IF('MEUS PROCESSOS'!O60="Alto",Sug_Alto,IF('MEUS PROCESSOS'!O60="Médio",Sug_Medio,IF('MEUS PROCESSOS'!O60="Baixo",Sug_Baixo,""))))</f>
        <v/>
      </c>
      <c r="AH60" s="15" t="str">
        <f aca="false">IF(B60="","",IF(AND(AB60&lt;&gt;"",AC60&lt;&gt;""),"Avaliado pela empresa",IF(AND(AB60="",AC60="",'MEUS PROCESSOS'!N60&lt;&gt;""),"Sugestão da biblioteca",IF('MEUS PROCESSOS'!N60&lt;&gt;"","Parcialmente sugerido",IF(AND(AB60="",AC60=""),"","Avaliado pela empresa")))))</f>
        <v/>
      </c>
      <c r="AI60" s="18" t="str">
        <f aca="false">IF(B60="","",IF(AND((COUNTBLANK(X60:AA60)+COUNTBLANK(AD60:AE60)+(AF60="")*1+(AG60="")*1)=0,W60&lt;&gt;""),"Completo","Incompleto — faltam "&amp;IF((COUNTBLANK(X60:AA60)+COUNTBLANK(AD60:AE60)+(AF60="")*1+(AG60="")*1)&gt;0,(COUNTBLANK(X60:AA60)+COUNTBLANK(AD60:AE60)+(AF60="")*1+(AG60="")*1)&amp;IF((COUNTBLANK(X60:AA60)+COUNTBLANK(AD60:AE60)+(AF60="")*1+(AG60="")*1)=1," avaliação"," avaliações"),"")&amp;IF(AND((COUNTBLANK(X60:AA60)+COUNTBLANK(AD60:AE60)+(AF60="")*1+(AG60="")*1)&gt;0,W60=""), " e ","")&amp;IF(W60="","os dados de custo","")))</f>
        <v/>
      </c>
      <c r="AJ60" s="29" t="str">
        <f aca="false">IF($AI60&lt;&gt;"Completo","",W_Custo*(W60-1)/4+W_Imp*(X60-1)/4)</f>
        <v/>
      </c>
      <c r="AK60" s="29" t="str">
        <f aca="false">IF($AI60&lt;&gt;"Completo","",W_Pot*(MAX(AF60,AG60)-1)/4+W_Rep*(Y60-1)/4+W_Pad*(Z60-1)/4+W_Vol*(AA60-1)/4)</f>
        <v/>
      </c>
      <c r="AL60" s="29" t="str">
        <f aca="false">IF($AI60&lt;&gt;"Completo","",(1-F_Pen*(AE60-1)/4)*(1-F_Pen*(AD60-1)/4))</f>
        <v/>
      </c>
      <c r="AM60" s="29" t="str">
        <f aca="false">IF($AI60&lt;&gt;"Completo","",SQRT(AK60*AL60))</f>
        <v/>
      </c>
      <c r="AN60" s="30" t="str">
        <f aca="false">IF($AI60&lt;&gt;"Completo","",100*AJ60^Exp_V*AM60^Exp_Vb)</f>
        <v/>
      </c>
      <c r="AO60" s="15" t="str">
        <f aca="false">IF(AN60="","",IF(AJ60&gt;=Corte,IF(AM60&gt;=Corte,"Fazer primeiro","Projeto estratégico"),IF(AM60&gt;=Corte,"Quick win","Evitar")))</f>
        <v/>
      </c>
      <c r="AP60" s="15" t="str">
        <f aca="false">IF(AN60="","",IF(OR(AD60&gt;=Trava_Nota,AE60&gt;=Trava_Nota),"SIM","—"))</f>
        <v/>
      </c>
      <c r="AQ60" s="15" t="str">
        <f aca="false">IF(AN60="","",IF(MAX(AF60,AG60)&lt;=Rota_Nota,"SIM","—"))</f>
        <v/>
      </c>
      <c r="AR60" s="15" t="str">
        <f aca="false">IF(AN60="","",IF(Z60&lt;=Rota_Nota,"SIM","—"))</f>
        <v/>
      </c>
      <c r="AS60" s="15" t="str">
        <f aca="false">IF(AN60="","",IF(AP60="SIM",IF(AJ60&gt;=Corte,"Projeto estratégico","Evitar"),AO60))</f>
        <v/>
      </c>
      <c r="AT60" s="15" t="str">
        <f aca="false">IF(AN60="","",IF(OR(AND(AJ60&gt;=Fr_Min,AJ60&lt;=Fr_Max),AND(AM60&gt;=Fr_Min,AM60&lt;=Fr_Max)),"Revisar",""))</f>
        <v/>
      </c>
      <c r="AU60" s="15" t="str">
        <f aca="false">IF(BE60="","",COUNTIF($BE$6:$BE$105,"&gt;"&amp;BE60)+1)</f>
        <v/>
      </c>
      <c r="AV60" s="16"/>
      <c r="AW60" s="15" t="str">
        <f aca="false">IF(B60="","",IF(AV60&lt;&gt;"",AV60,'MEUS PROCESSOS'!M60))</f>
        <v/>
      </c>
      <c r="AX60" s="23"/>
      <c r="AY60" s="31" t="str">
        <f aca="false">IF(AW60="","",IF(AX60&lt;&gt;"",AX60,IF(AW60="S",Red_S,IF(AW60="P",Red_P,IF(AW60="A",Red_A,IF(AW60="IA",Red_IA,""))))))</f>
        <v/>
      </c>
      <c r="AZ60" s="27" t="str">
        <f aca="false">IF(OR(V60="",AY60=""),"",(T60+U60)*AY60)</f>
        <v/>
      </c>
      <c r="BA60" s="27" t="str">
        <f aca="false">IF(OR(V60="",AY60=""),"",(R60+S60)*AY60)</f>
        <v/>
      </c>
      <c r="BB60" s="27" t="str">
        <f aca="false">IF(AZ60="","",AZ60+BA60)</f>
        <v/>
      </c>
      <c r="BC60" s="27" t="str">
        <f aca="false">IF(OR(P60="",AY60=""),"",(P60*(1+N(J60))+N(M60))*12*AY60)</f>
        <v/>
      </c>
      <c r="BD60" s="18" t="str">
        <f aca="false">IF(B60="","",IF(AND(AW60="E",AX60=""),"Eliminar: informe quanto do esforço atual deixa de existir (0% a 100%). Não há percentual inicial sugerido.",IF(AND(AX60="",AY60&lt;&gt;""),"Redução pela faixa inicial para simulação","")))</f>
        <v/>
      </c>
      <c r="BE60" s="19" t="str">
        <f aca="false">IF(AND(AN60&lt;&gt;"",D60=1),AN60+(1000-A60)/1000000,"")</f>
        <v/>
      </c>
    </row>
    <row r="61" customFormat="false" ht="15" hidden="false" customHeight="false" outlineLevel="0" collapsed="false">
      <c r="A61" s="15" t="n">
        <v>56</v>
      </c>
      <c r="B61" s="18" t="str">
        <f aca="false">IF('MEUS PROCESSOS'!J61="","",'MEUS PROCESSOS'!J61)</f>
        <v/>
      </c>
      <c r="C61" s="15" t="str">
        <f aca="false">IF('MEUS PROCESSOS'!K61="","",'MEUS PROCESSOS'!K61)</f>
        <v/>
      </c>
      <c r="D61" s="19" t="n">
        <f aca="false">'MEUS PROCESSOS'!Q61</f>
        <v>0</v>
      </c>
      <c r="E61" s="16"/>
      <c r="F61" s="16"/>
      <c r="G61" s="16"/>
      <c r="H61" s="16"/>
      <c r="I61" s="22"/>
      <c r="J61" s="23"/>
      <c r="K61" s="16"/>
      <c r="L61" s="24"/>
      <c r="M61" s="16"/>
      <c r="N61" s="24"/>
      <c r="O61" s="25" t="str">
        <f aca="false">IF(OR(E61="",F61=""),"",F61*IF(E61="Diária",Mult_Diaria,IF(E61="Semanal",Mult_Semanal,1)))</f>
        <v/>
      </c>
      <c r="P61" s="25" t="str">
        <f aca="false">IF(OR(O61="",G61="",H61=""),"",O61*G61/60*H61)</f>
        <v/>
      </c>
      <c r="Q61" s="26" t="str">
        <f aca="false">IF(I61&lt;&gt;"",I61,IF(Custo_Hora_Padrao&lt;&gt;"",Custo_Hora_Padrao,""))</f>
        <v/>
      </c>
      <c r="R61" s="27" t="str">
        <f aca="false">IF(OR(P61="",Q61=""),"",P61*Q61*12)</f>
        <v/>
      </c>
      <c r="S61" s="27" t="str">
        <f aca="false">IF(R61="","",R61*N(J61))</f>
        <v/>
      </c>
      <c r="T61" s="27" t="str">
        <f aca="false">IF(R61="","",N(K61)*N(L61)*12)</f>
        <v/>
      </c>
      <c r="U61" s="27" t="str">
        <f aca="false">IF(R61="","",(N(M61)*Q61*HE_Fator+N(N61))*12)</f>
        <v/>
      </c>
      <c r="V61" s="28" t="str">
        <f aca="false">IF(R61="","",R61+S61+T61+U61)</f>
        <v/>
      </c>
      <c r="W61" s="15" t="str">
        <f aca="false">IF(V61="","",IF(V61&lt;=Faixa_1,1,IF(V61&lt;=Faixa_2,2,IF(V61&lt;=Faixa_3,3,IF(V61&lt;=Faixa_4,4,5)))))</f>
        <v/>
      </c>
      <c r="X61" s="16"/>
      <c r="Y61" s="16"/>
      <c r="Z61" s="16"/>
      <c r="AA61" s="16"/>
      <c r="AB61" s="16"/>
      <c r="AC61" s="16"/>
      <c r="AD61" s="16"/>
      <c r="AE61" s="16"/>
      <c r="AF61" s="15" t="str">
        <f aca="false">IF(AB61&lt;&gt;"",AB61,IF('MEUS PROCESSOS'!N61="Alto",Sug_Alto,IF('MEUS PROCESSOS'!N61="Médio",Sug_Medio,IF('MEUS PROCESSOS'!N61="Baixo",Sug_Baixo,""))))</f>
        <v/>
      </c>
      <c r="AG61" s="15" t="str">
        <f aca="false">IF(AC61&lt;&gt;"",AC61,IF('MEUS PROCESSOS'!O61="Alto",Sug_Alto,IF('MEUS PROCESSOS'!O61="Médio",Sug_Medio,IF('MEUS PROCESSOS'!O61="Baixo",Sug_Baixo,""))))</f>
        <v/>
      </c>
      <c r="AH61" s="15" t="str">
        <f aca="false">IF(B61="","",IF(AND(AB61&lt;&gt;"",AC61&lt;&gt;""),"Avaliado pela empresa",IF(AND(AB61="",AC61="",'MEUS PROCESSOS'!N61&lt;&gt;""),"Sugestão da biblioteca",IF('MEUS PROCESSOS'!N61&lt;&gt;"","Parcialmente sugerido",IF(AND(AB61="",AC61=""),"","Avaliado pela empresa")))))</f>
        <v/>
      </c>
      <c r="AI61" s="18" t="str">
        <f aca="false">IF(B61="","",IF(AND((COUNTBLANK(X61:AA61)+COUNTBLANK(AD61:AE61)+(AF61="")*1+(AG61="")*1)=0,W61&lt;&gt;""),"Completo","Incompleto — faltam "&amp;IF((COUNTBLANK(X61:AA61)+COUNTBLANK(AD61:AE61)+(AF61="")*1+(AG61="")*1)&gt;0,(COUNTBLANK(X61:AA61)+COUNTBLANK(AD61:AE61)+(AF61="")*1+(AG61="")*1)&amp;IF((COUNTBLANK(X61:AA61)+COUNTBLANK(AD61:AE61)+(AF61="")*1+(AG61="")*1)=1," avaliação"," avaliações"),"")&amp;IF(AND((COUNTBLANK(X61:AA61)+COUNTBLANK(AD61:AE61)+(AF61="")*1+(AG61="")*1)&gt;0,W61=""), " e ","")&amp;IF(W61="","os dados de custo","")))</f>
        <v/>
      </c>
      <c r="AJ61" s="29" t="str">
        <f aca="false">IF($AI61&lt;&gt;"Completo","",W_Custo*(W61-1)/4+W_Imp*(X61-1)/4)</f>
        <v/>
      </c>
      <c r="AK61" s="29" t="str">
        <f aca="false">IF($AI61&lt;&gt;"Completo","",W_Pot*(MAX(AF61,AG61)-1)/4+W_Rep*(Y61-1)/4+W_Pad*(Z61-1)/4+W_Vol*(AA61-1)/4)</f>
        <v/>
      </c>
      <c r="AL61" s="29" t="str">
        <f aca="false">IF($AI61&lt;&gt;"Completo","",(1-F_Pen*(AE61-1)/4)*(1-F_Pen*(AD61-1)/4))</f>
        <v/>
      </c>
      <c r="AM61" s="29" t="str">
        <f aca="false">IF($AI61&lt;&gt;"Completo","",SQRT(AK61*AL61))</f>
        <v/>
      </c>
      <c r="AN61" s="30" t="str">
        <f aca="false">IF($AI61&lt;&gt;"Completo","",100*AJ61^Exp_V*AM61^Exp_Vb)</f>
        <v/>
      </c>
      <c r="AO61" s="15" t="str">
        <f aca="false">IF(AN61="","",IF(AJ61&gt;=Corte,IF(AM61&gt;=Corte,"Fazer primeiro","Projeto estratégico"),IF(AM61&gt;=Corte,"Quick win","Evitar")))</f>
        <v/>
      </c>
      <c r="AP61" s="15" t="str">
        <f aca="false">IF(AN61="","",IF(OR(AD61&gt;=Trava_Nota,AE61&gt;=Trava_Nota),"SIM","—"))</f>
        <v/>
      </c>
      <c r="AQ61" s="15" t="str">
        <f aca="false">IF(AN61="","",IF(MAX(AF61,AG61)&lt;=Rota_Nota,"SIM","—"))</f>
        <v/>
      </c>
      <c r="AR61" s="15" t="str">
        <f aca="false">IF(AN61="","",IF(Z61&lt;=Rota_Nota,"SIM","—"))</f>
        <v/>
      </c>
      <c r="AS61" s="15" t="str">
        <f aca="false">IF(AN61="","",IF(AP61="SIM",IF(AJ61&gt;=Corte,"Projeto estratégico","Evitar"),AO61))</f>
        <v/>
      </c>
      <c r="AT61" s="15" t="str">
        <f aca="false">IF(AN61="","",IF(OR(AND(AJ61&gt;=Fr_Min,AJ61&lt;=Fr_Max),AND(AM61&gt;=Fr_Min,AM61&lt;=Fr_Max)),"Revisar",""))</f>
        <v/>
      </c>
      <c r="AU61" s="15" t="str">
        <f aca="false">IF(BE61="","",COUNTIF($BE$6:$BE$105,"&gt;"&amp;BE61)+1)</f>
        <v/>
      </c>
      <c r="AV61" s="16"/>
      <c r="AW61" s="15" t="str">
        <f aca="false">IF(B61="","",IF(AV61&lt;&gt;"",AV61,'MEUS PROCESSOS'!M61))</f>
        <v/>
      </c>
      <c r="AX61" s="23"/>
      <c r="AY61" s="31" t="str">
        <f aca="false">IF(AW61="","",IF(AX61&lt;&gt;"",AX61,IF(AW61="S",Red_S,IF(AW61="P",Red_P,IF(AW61="A",Red_A,IF(AW61="IA",Red_IA,""))))))</f>
        <v/>
      </c>
      <c r="AZ61" s="27" t="str">
        <f aca="false">IF(OR(V61="",AY61=""),"",(T61+U61)*AY61)</f>
        <v/>
      </c>
      <c r="BA61" s="27" t="str">
        <f aca="false">IF(OR(V61="",AY61=""),"",(R61+S61)*AY61)</f>
        <v/>
      </c>
      <c r="BB61" s="27" t="str">
        <f aca="false">IF(AZ61="","",AZ61+BA61)</f>
        <v/>
      </c>
      <c r="BC61" s="27" t="str">
        <f aca="false">IF(OR(P61="",AY61=""),"",(P61*(1+N(J61))+N(M61))*12*AY61)</f>
        <v/>
      </c>
      <c r="BD61" s="18" t="str">
        <f aca="false">IF(B61="","",IF(AND(AW61="E",AX61=""),"Eliminar: informe quanto do esforço atual deixa de existir (0% a 100%). Não há percentual inicial sugerido.",IF(AND(AX61="",AY61&lt;&gt;""),"Redução pela faixa inicial para simulação","")))</f>
        <v/>
      </c>
      <c r="BE61" s="19" t="str">
        <f aca="false">IF(AND(AN61&lt;&gt;"",D61=1),AN61+(1000-A61)/1000000,"")</f>
        <v/>
      </c>
    </row>
    <row r="62" customFormat="false" ht="15" hidden="false" customHeight="false" outlineLevel="0" collapsed="false">
      <c r="A62" s="15" t="n">
        <v>57</v>
      </c>
      <c r="B62" s="18" t="str">
        <f aca="false">IF('MEUS PROCESSOS'!J62="","",'MEUS PROCESSOS'!J62)</f>
        <v/>
      </c>
      <c r="C62" s="15" t="str">
        <f aca="false">IF('MEUS PROCESSOS'!K62="","",'MEUS PROCESSOS'!K62)</f>
        <v/>
      </c>
      <c r="D62" s="19" t="n">
        <f aca="false">'MEUS PROCESSOS'!Q62</f>
        <v>0</v>
      </c>
      <c r="E62" s="16"/>
      <c r="F62" s="16"/>
      <c r="G62" s="16"/>
      <c r="H62" s="16"/>
      <c r="I62" s="22"/>
      <c r="J62" s="23"/>
      <c r="K62" s="16"/>
      <c r="L62" s="24"/>
      <c r="M62" s="16"/>
      <c r="N62" s="24"/>
      <c r="O62" s="25" t="str">
        <f aca="false">IF(OR(E62="",F62=""),"",F62*IF(E62="Diária",Mult_Diaria,IF(E62="Semanal",Mult_Semanal,1)))</f>
        <v/>
      </c>
      <c r="P62" s="25" t="str">
        <f aca="false">IF(OR(O62="",G62="",H62=""),"",O62*G62/60*H62)</f>
        <v/>
      </c>
      <c r="Q62" s="26" t="str">
        <f aca="false">IF(I62&lt;&gt;"",I62,IF(Custo_Hora_Padrao&lt;&gt;"",Custo_Hora_Padrao,""))</f>
        <v/>
      </c>
      <c r="R62" s="27" t="str">
        <f aca="false">IF(OR(P62="",Q62=""),"",P62*Q62*12)</f>
        <v/>
      </c>
      <c r="S62" s="27" t="str">
        <f aca="false">IF(R62="","",R62*N(J62))</f>
        <v/>
      </c>
      <c r="T62" s="27" t="str">
        <f aca="false">IF(R62="","",N(K62)*N(L62)*12)</f>
        <v/>
      </c>
      <c r="U62" s="27" t="str">
        <f aca="false">IF(R62="","",(N(M62)*Q62*HE_Fator+N(N62))*12)</f>
        <v/>
      </c>
      <c r="V62" s="28" t="str">
        <f aca="false">IF(R62="","",R62+S62+T62+U62)</f>
        <v/>
      </c>
      <c r="W62" s="15" t="str">
        <f aca="false">IF(V62="","",IF(V62&lt;=Faixa_1,1,IF(V62&lt;=Faixa_2,2,IF(V62&lt;=Faixa_3,3,IF(V62&lt;=Faixa_4,4,5)))))</f>
        <v/>
      </c>
      <c r="X62" s="16"/>
      <c r="Y62" s="16"/>
      <c r="Z62" s="16"/>
      <c r="AA62" s="16"/>
      <c r="AB62" s="16"/>
      <c r="AC62" s="16"/>
      <c r="AD62" s="16"/>
      <c r="AE62" s="16"/>
      <c r="AF62" s="15" t="str">
        <f aca="false">IF(AB62&lt;&gt;"",AB62,IF('MEUS PROCESSOS'!N62="Alto",Sug_Alto,IF('MEUS PROCESSOS'!N62="Médio",Sug_Medio,IF('MEUS PROCESSOS'!N62="Baixo",Sug_Baixo,""))))</f>
        <v/>
      </c>
      <c r="AG62" s="15" t="str">
        <f aca="false">IF(AC62&lt;&gt;"",AC62,IF('MEUS PROCESSOS'!O62="Alto",Sug_Alto,IF('MEUS PROCESSOS'!O62="Médio",Sug_Medio,IF('MEUS PROCESSOS'!O62="Baixo",Sug_Baixo,""))))</f>
        <v/>
      </c>
      <c r="AH62" s="15" t="str">
        <f aca="false">IF(B62="","",IF(AND(AB62&lt;&gt;"",AC62&lt;&gt;""),"Avaliado pela empresa",IF(AND(AB62="",AC62="",'MEUS PROCESSOS'!N62&lt;&gt;""),"Sugestão da biblioteca",IF('MEUS PROCESSOS'!N62&lt;&gt;"","Parcialmente sugerido",IF(AND(AB62="",AC62=""),"","Avaliado pela empresa")))))</f>
        <v/>
      </c>
      <c r="AI62" s="18" t="str">
        <f aca="false">IF(B62="","",IF(AND((COUNTBLANK(X62:AA62)+COUNTBLANK(AD62:AE62)+(AF62="")*1+(AG62="")*1)=0,W62&lt;&gt;""),"Completo","Incompleto — faltam "&amp;IF((COUNTBLANK(X62:AA62)+COUNTBLANK(AD62:AE62)+(AF62="")*1+(AG62="")*1)&gt;0,(COUNTBLANK(X62:AA62)+COUNTBLANK(AD62:AE62)+(AF62="")*1+(AG62="")*1)&amp;IF((COUNTBLANK(X62:AA62)+COUNTBLANK(AD62:AE62)+(AF62="")*1+(AG62="")*1)=1," avaliação"," avaliações"),"")&amp;IF(AND((COUNTBLANK(X62:AA62)+COUNTBLANK(AD62:AE62)+(AF62="")*1+(AG62="")*1)&gt;0,W62=""), " e ","")&amp;IF(W62="","os dados de custo","")))</f>
        <v/>
      </c>
      <c r="AJ62" s="29" t="str">
        <f aca="false">IF($AI62&lt;&gt;"Completo","",W_Custo*(W62-1)/4+W_Imp*(X62-1)/4)</f>
        <v/>
      </c>
      <c r="AK62" s="29" t="str">
        <f aca="false">IF($AI62&lt;&gt;"Completo","",W_Pot*(MAX(AF62,AG62)-1)/4+W_Rep*(Y62-1)/4+W_Pad*(Z62-1)/4+W_Vol*(AA62-1)/4)</f>
        <v/>
      </c>
      <c r="AL62" s="29" t="str">
        <f aca="false">IF($AI62&lt;&gt;"Completo","",(1-F_Pen*(AE62-1)/4)*(1-F_Pen*(AD62-1)/4))</f>
        <v/>
      </c>
      <c r="AM62" s="29" t="str">
        <f aca="false">IF($AI62&lt;&gt;"Completo","",SQRT(AK62*AL62))</f>
        <v/>
      </c>
      <c r="AN62" s="30" t="str">
        <f aca="false">IF($AI62&lt;&gt;"Completo","",100*AJ62^Exp_V*AM62^Exp_Vb)</f>
        <v/>
      </c>
      <c r="AO62" s="15" t="str">
        <f aca="false">IF(AN62="","",IF(AJ62&gt;=Corte,IF(AM62&gt;=Corte,"Fazer primeiro","Projeto estratégico"),IF(AM62&gt;=Corte,"Quick win","Evitar")))</f>
        <v/>
      </c>
      <c r="AP62" s="15" t="str">
        <f aca="false">IF(AN62="","",IF(OR(AD62&gt;=Trava_Nota,AE62&gt;=Trava_Nota),"SIM","—"))</f>
        <v/>
      </c>
      <c r="AQ62" s="15" t="str">
        <f aca="false">IF(AN62="","",IF(MAX(AF62,AG62)&lt;=Rota_Nota,"SIM","—"))</f>
        <v/>
      </c>
      <c r="AR62" s="15" t="str">
        <f aca="false">IF(AN62="","",IF(Z62&lt;=Rota_Nota,"SIM","—"))</f>
        <v/>
      </c>
      <c r="AS62" s="15" t="str">
        <f aca="false">IF(AN62="","",IF(AP62="SIM",IF(AJ62&gt;=Corte,"Projeto estratégico","Evitar"),AO62))</f>
        <v/>
      </c>
      <c r="AT62" s="15" t="str">
        <f aca="false">IF(AN62="","",IF(OR(AND(AJ62&gt;=Fr_Min,AJ62&lt;=Fr_Max),AND(AM62&gt;=Fr_Min,AM62&lt;=Fr_Max)),"Revisar",""))</f>
        <v/>
      </c>
      <c r="AU62" s="15" t="str">
        <f aca="false">IF(BE62="","",COUNTIF($BE$6:$BE$105,"&gt;"&amp;BE62)+1)</f>
        <v/>
      </c>
      <c r="AV62" s="16"/>
      <c r="AW62" s="15" t="str">
        <f aca="false">IF(B62="","",IF(AV62&lt;&gt;"",AV62,'MEUS PROCESSOS'!M62))</f>
        <v/>
      </c>
      <c r="AX62" s="23"/>
      <c r="AY62" s="31" t="str">
        <f aca="false">IF(AW62="","",IF(AX62&lt;&gt;"",AX62,IF(AW62="S",Red_S,IF(AW62="P",Red_P,IF(AW62="A",Red_A,IF(AW62="IA",Red_IA,""))))))</f>
        <v/>
      </c>
      <c r="AZ62" s="27" t="str">
        <f aca="false">IF(OR(V62="",AY62=""),"",(T62+U62)*AY62)</f>
        <v/>
      </c>
      <c r="BA62" s="27" t="str">
        <f aca="false">IF(OR(V62="",AY62=""),"",(R62+S62)*AY62)</f>
        <v/>
      </c>
      <c r="BB62" s="27" t="str">
        <f aca="false">IF(AZ62="","",AZ62+BA62)</f>
        <v/>
      </c>
      <c r="BC62" s="27" t="str">
        <f aca="false">IF(OR(P62="",AY62=""),"",(P62*(1+N(J62))+N(M62))*12*AY62)</f>
        <v/>
      </c>
      <c r="BD62" s="18" t="str">
        <f aca="false">IF(B62="","",IF(AND(AW62="E",AX62=""),"Eliminar: informe quanto do esforço atual deixa de existir (0% a 100%). Não há percentual inicial sugerido.",IF(AND(AX62="",AY62&lt;&gt;""),"Redução pela faixa inicial para simulação","")))</f>
        <v/>
      </c>
      <c r="BE62" s="19" t="str">
        <f aca="false">IF(AND(AN62&lt;&gt;"",D62=1),AN62+(1000-A62)/1000000,"")</f>
        <v/>
      </c>
    </row>
    <row r="63" customFormat="false" ht="15" hidden="false" customHeight="false" outlineLevel="0" collapsed="false">
      <c r="A63" s="15" t="n">
        <v>58</v>
      </c>
      <c r="B63" s="18" t="str">
        <f aca="false">IF('MEUS PROCESSOS'!J63="","",'MEUS PROCESSOS'!J63)</f>
        <v/>
      </c>
      <c r="C63" s="15" t="str">
        <f aca="false">IF('MEUS PROCESSOS'!K63="","",'MEUS PROCESSOS'!K63)</f>
        <v/>
      </c>
      <c r="D63" s="19" t="n">
        <f aca="false">'MEUS PROCESSOS'!Q63</f>
        <v>0</v>
      </c>
      <c r="E63" s="16"/>
      <c r="F63" s="16"/>
      <c r="G63" s="16"/>
      <c r="H63" s="16"/>
      <c r="I63" s="22"/>
      <c r="J63" s="23"/>
      <c r="K63" s="16"/>
      <c r="L63" s="24"/>
      <c r="M63" s="16"/>
      <c r="N63" s="24"/>
      <c r="O63" s="25" t="str">
        <f aca="false">IF(OR(E63="",F63=""),"",F63*IF(E63="Diária",Mult_Diaria,IF(E63="Semanal",Mult_Semanal,1)))</f>
        <v/>
      </c>
      <c r="P63" s="25" t="str">
        <f aca="false">IF(OR(O63="",G63="",H63=""),"",O63*G63/60*H63)</f>
        <v/>
      </c>
      <c r="Q63" s="26" t="str">
        <f aca="false">IF(I63&lt;&gt;"",I63,IF(Custo_Hora_Padrao&lt;&gt;"",Custo_Hora_Padrao,""))</f>
        <v/>
      </c>
      <c r="R63" s="27" t="str">
        <f aca="false">IF(OR(P63="",Q63=""),"",P63*Q63*12)</f>
        <v/>
      </c>
      <c r="S63" s="27" t="str">
        <f aca="false">IF(R63="","",R63*N(J63))</f>
        <v/>
      </c>
      <c r="T63" s="27" t="str">
        <f aca="false">IF(R63="","",N(K63)*N(L63)*12)</f>
        <v/>
      </c>
      <c r="U63" s="27" t="str">
        <f aca="false">IF(R63="","",(N(M63)*Q63*HE_Fator+N(N63))*12)</f>
        <v/>
      </c>
      <c r="V63" s="28" t="str">
        <f aca="false">IF(R63="","",R63+S63+T63+U63)</f>
        <v/>
      </c>
      <c r="W63" s="15" t="str">
        <f aca="false">IF(V63="","",IF(V63&lt;=Faixa_1,1,IF(V63&lt;=Faixa_2,2,IF(V63&lt;=Faixa_3,3,IF(V63&lt;=Faixa_4,4,5)))))</f>
        <v/>
      </c>
      <c r="X63" s="16"/>
      <c r="Y63" s="16"/>
      <c r="Z63" s="16"/>
      <c r="AA63" s="16"/>
      <c r="AB63" s="16"/>
      <c r="AC63" s="16"/>
      <c r="AD63" s="16"/>
      <c r="AE63" s="16"/>
      <c r="AF63" s="15" t="str">
        <f aca="false">IF(AB63&lt;&gt;"",AB63,IF('MEUS PROCESSOS'!N63="Alto",Sug_Alto,IF('MEUS PROCESSOS'!N63="Médio",Sug_Medio,IF('MEUS PROCESSOS'!N63="Baixo",Sug_Baixo,""))))</f>
        <v/>
      </c>
      <c r="AG63" s="15" t="str">
        <f aca="false">IF(AC63&lt;&gt;"",AC63,IF('MEUS PROCESSOS'!O63="Alto",Sug_Alto,IF('MEUS PROCESSOS'!O63="Médio",Sug_Medio,IF('MEUS PROCESSOS'!O63="Baixo",Sug_Baixo,""))))</f>
        <v/>
      </c>
      <c r="AH63" s="15" t="str">
        <f aca="false">IF(B63="","",IF(AND(AB63&lt;&gt;"",AC63&lt;&gt;""),"Avaliado pela empresa",IF(AND(AB63="",AC63="",'MEUS PROCESSOS'!N63&lt;&gt;""),"Sugestão da biblioteca",IF('MEUS PROCESSOS'!N63&lt;&gt;"","Parcialmente sugerido",IF(AND(AB63="",AC63=""),"","Avaliado pela empresa")))))</f>
        <v/>
      </c>
      <c r="AI63" s="18" t="str">
        <f aca="false">IF(B63="","",IF(AND((COUNTBLANK(X63:AA63)+COUNTBLANK(AD63:AE63)+(AF63="")*1+(AG63="")*1)=0,W63&lt;&gt;""),"Completo","Incompleto — faltam "&amp;IF((COUNTBLANK(X63:AA63)+COUNTBLANK(AD63:AE63)+(AF63="")*1+(AG63="")*1)&gt;0,(COUNTBLANK(X63:AA63)+COUNTBLANK(AD63:AE63)+(AF63="")*1+(AG63="")*1)&amp;IF((COUNTBLANK(X63:AA63)+COUNTBLANK(AD63:AE63)+(AF63="")*1+(AG63="")*1)=1," avaliação"," avaliações"),"")&amp;IF(AND((COUNTBLANK(X63:AA63)+COUNTBLANK(AD63:AE63)+(AF63="")*1+(AG63="")*1)&gt;0,W63=""), " e ","")&amp;IF(W63="","os dados de custo","")))</f>
        <v/>
      </c>
      <c r="AJ63" s="29" t="str">
        <f aca="false">IF($AI63&lt;&gt;"Completo","",W_Custo*(W63-1)/4+W_Imp*(X63-1)/4)</f>
        <v/>
      </c>
      <c r="AK63" s="29" t="str">
        <f aca="false">IF($AI63&lt;&gt;"Completo","",W_Pot*(MAX(AF63,AG63)-1)/4+W_Rep*(Y63-1)/4+W_Pad*(Z63-1)/4+W_Vol*(AA63-1)/4)</f>
        <v/>
      </c>
      <c r="AL63" s="29" t="str">
        <f aca="false">IF($AI63&lt;&gt;"Completo","",(1-F_Pen*(AE63-1)/4)*(1-F_Pen*(AD63-1)/4))</f>
        <v/>
      </c>
      <c r="AM63" s="29" t="str">
        <f aca="false">IF($AI63&lt;&gt;"Completo","",SQRT(AK63*AL63))</f>
        <v/>
      </c>
      <c r="AN63" s="30" t="str">
        <f aca="false">IF($AI63&lt;&gt;"Completo","",100*AJ63^Exp_V*AM63^Exp_Vb)</f>
        <v/>
      </c>
      <c r="AO63" s="15" t="str">
        <f aca="false">IF(AN63="","",IF(AJ63&gt;=Corte,IF(AM63&gt;=Corte,"Fazer primeiro","Projeto estratégico"),IF(AM63&gt;=Corte,"Quick win","Evitar")))</f>
        <v/>
      </c>
      <c r="AP63" s="15" t="str">
        <f aca="false">IF(AN63="","",IF(OR(AD63&gt;=Trava_Nota,AE63&gt;=Trava_Nota),"SIM","—"))</f>
        <v/>
      </c>
      <c r="AQ63" s="15" t="str">
        <f aca="false">IF(AN63="","",IF(MAX(AF63,AG63)&lt;=Rota_Nota,"SIM","—"))</f>
        <v/>
      </c>
      <c r="AR63" s="15" t="str">
        <f aca="false">IF(AN63="","",IF(Z63&lt;=Rota_Nota,"SIM","—"))</f>
        <v/>
      </c>
      <c r="AS63" s="15" t="str">
        <f aca="false">IF(AN63="","",IF(AP63="SIM",IF(AJ63&gt;=Corte,"Projeto estratégico","Evitar"),AO63))</f>
        <v/>
      </c>
      <c r="AT63" s="15" t="str">
        <f aca="false">IF(AN63="","",IF(OR(AND(AJ63&gt;=Fr_Min,AJ63&lt;=Fr_Max),AND(AM63&gt;=Fr_Min,AM63&lt;=Fr_Max)),"Revisar",""))</f>
        <v/>
      </c>
      <c r="AU63" s="15" t="str">
        <f aca="false">IF(BE63="","",COUNTIF($BE$6:$BE$105,"&gt;"&amp;BE63)+1)</f>
        <v/>
      </c>
      <c r="AV63" s="16"/>
      <c r="AW63" s="15" t="str">
        <f aca="false">IF(B63="","",IF(AV63&lt;&gt;"",AV63,'MEUS PROCESSOS'!M63))</f>
        <v/>
      </c>
      <c r="AX63" s="23"/>
      <c r="AY63" s="31" t="str">
        <f aca="false">IF(AW63="","",IF(AX63&lt;&gt;"",AX63,IF(AW63="S",Red_S,IF(AW63="P",Red_P,IF(AW63="A",Red_A,IF(AW63="IA",Red_IA,""))))))</f>
        <v/>
      </c>
      <c r="AZ63" s="27" t="str">
        <f aca="false">IF(OR(V63="",AY63=""),"",(T63+U63)*AY63)</f>
        <v/>
      </c>
      <c r="BA63" s="27" t="str">
        <f aca="false">IF(OR(V63="",AY63=""),"",(R63+S63)*AY63)</f>
        <v/>
      </c>
      <c r="BB63" s="27" t="str">
        <f aca="false">IF(AZ63="","",AZ63+BA63)</f>
        <v/>
      </c>
      <c r="BC63" s="27" t="str">
        <f aca="false">IF(OR(P63="",AY63=""),"",(P63*(1+N(J63))+N(M63))*12*AY63)</f>
        <v/>
      </c>
      <c r="BD63" s="18" t="str">
        <f aca="false">IF(B63="","",IF(AND(AW63="E",AX63=""),"Eliminar: informe quanto do esforço atual deixa de existir (0% a 100%). Não há percentual inicial sugerido.",IF(AND(AX63="",AY63&lt;&gt;""),"Redução pela faixa inicial para simulação","")))</f>
        <v/>
      </c>
      <c r="BE63" s="19" t="str">
        <f aca="false">IF(AND(AN63&lt;&gt;"",D63=1),AN63+(1000-A63)/1000000,"")</f>
        <v/>
      </c>
    </row>
    <row r="64" customFormat="false" ht="15" hidden="false" customHeight="false" outlineLevel="0" collapsed="false">
      <c r="A64" s="15" t="n">
        <v>59</v>
      </c>
      <c r="B64" s="18" t="str">
        <f aca="false">IF('MEUS PROCESSOS'!J64="","",'MEUS PROCESSOS'!J64)</f>
        <v/>
      </c>
      <c r="C64" s="15" t="str">
        <f aca="false">IF('MEUS PROCESSOS'!K64="","",'MEUS PROCESSOS'!K64)</f>
        <v/>
      </c>
      <c r="D64" s="19" t="n">
        <f aca="false">'MEUS PROCESSOS'!Q64</f>
        <v>0</v>
      </c>
      <c r="E64" s="16"/>
      <c r="F64" s="16"/>
      <c r="G64" s="16"/>
      <c r="H64" s="16"/>
      <c r="I64" s="22"/>
      <c r="J64" s="23"/>
      <c r="K64" s="16"/>
      <c r="L64" s="24"/>
      <c r="M64" s="16"/>
      <c r="N64" s="24"/>
      <c r="O64" s="25" t="str">
        <f aca="false">IF(OR(E64="",F64=""),"",F64*IF(E64="Diária",Mult_Diaria,IF(E64="Semanal",Mult_Semanal,1)))</f>
        <v/>
      </c>
      <c r="P64" s="25" t="str">
        <f aca="false">IF(OR(O64="",G64="",H64=""),"",O64*G64/60*H64)</f>
        <v/>
      </c>
      <c r="Q64" s="26" t="str">
        <f aca="false">IF(I64&lt;&gt;"",I64,IF(Custo_Hora_Padrao&lt;&gt;"",Custo_Hora_Padrao,""))</f>
        <v/>
      </c>
      <c r="R64" s="27" t="str">
        <f aca="false">IF(OR(P64="",Q64=""),"",P64*Q64*12)</f>
        <v/>
      </c>
      <c r="S64" s="27" t="str">
        <f aca="false">IF(R64="","",R64*N(J64))</f>
        <v/>
      </c>
      <c r="T64" s="27" t="str">
        <f aca="false">IF(R64="","",N(K64)*N(L64)*12)</f>
        <v/>
      </c>
      <c r="U64" s="27" t="str">
        <f aca="false">IF(R64="","",(N(M64)*Q64*HE_Fator+N(N64))*12)</f>
        <v/>
      </c>
      <c r="V64" s="28" t="str">
        <f aca="false">IF(R64="","",R64+S64+T64+U64)</f>
        <v/>
      </c>
      <c r="W64" s="15" t="str">
        <f aca="false">IF(V64="","",IF(V64&lt;=Faixa_1,1,IF(V64&lt;=Faixa_2,2,IF(V64&lt;=Faixa_3,3,IF(V64&lt;=Faixa_4,4,5)))))</f>
        <v/>
      </c>
      <c r="X64" s="16"/>
      <c r="Y64" s="16"/>
      <c r="Z64" s="16"/>
      <c r="AA64" s="16"/>
      <c r="AB64" s="16"/>
      <c r="AC64" s="16"/>
      <c r="AD64" s="16"/>
      <c r="AE64" s="16"/>
      <c r="AF64" s="15" t="str">
        <f aca="false">IF(AB64&lt;&gt;"",AB64,IF('MEUS PROCESSOS'!N64="Alto",Sug_Alto,IF('MEUS PROCESSOS'!N64="Médio",Sug_Medio,IF('MEUS PROCESSOS'!N64="Baixo",Sug_Baixo,""))))</f>
        <v/>
      </c>
      <c r="AG64" s="15" t="str">
        <f aca="false">IF(AC64&lt;&gt;"",AC64,IF('MEUS PROCESSOS'!O64="Alto",Sug_Alto,IF('MEUS PROCESSOS'!O64="Médio",Sug_Medio,IF('MEUS PROCESSOS'!O64="Baixo",Sug_Baixo,""))))</f>
        <v/>
      </c>
      <c r="AH64" s="15" t="str">
        <f aca="false">IF(B64="","",IF(AND(AB64&lt;&gt;"",AC64&lt;&gt;""),"Avaliado pela empresa",IF(AND(AB64="",AC64="",'MEUS PROCESSOS'!N64&lt;&gt;""),"Sugestão da biblioteca",IF('MEUS PROCESSOS'!N64&lt;&gt;"","Parcialmente sugerido",IF(AND(AB64="",AC64=""),"","Avaliado pela empresa")))))</f>
        <v/>
      </c>
      <c r="AI64" s="18" t="str">
        <f aca="false">IF(B64="","",IF(AND((COUNTBLANK(X64:AA64)+COUNTBLANK(AD64:AE64)+(AF64="")*1+(AG64="")*1)=0,W64&lt;&gt;""),"Completo","Incompleto — faltam "&amp;IF((COUNTBLANK(X64:AA64)+COUNTBLANK(AD64:AE64)+(AF64="")*1+(AG64="")*1)&gt;0,(COUNTBLANK(X64:AA64)+COUNTBLANK(AD64:AE64)+(AF64="")*1+(AG64="")*1)&amp;IF((COUNTBLANK(X64:AA64)+COUNTBLANK(AD64:AE64)+(AF64="")*1+(AG64="")*1)=1," avaliação"," avaliações"),"")&amp;IF(AND((COUNTBLANK(X64:AA64)+COUNTBLANK(AD64:AE64)+(AF64="")*1+(AG64="")*1)&gt;0,W64=""), " e ","")&amp;IF(W64="","os dados de custo","")))</f>
        <v/>
      </c>
      <c r="AJ64" s="29" t="str">
        <f aca="false">IF($AI64&lt;&gt;"Completo","",W_Custo*(W64-1)/4+W_Imp*(X64-1)/4)</f>
        <v/>
      </c>
      <c r="AK64" s="29" t="str">
        <f aca="false">IF($AI64&lt;&gt;"Completo","",W_Pot*(MAX(AF64,AG64)-1)/4+W_Rep*(Y64-1)/4+W_Pad*(Z64-1)/4+W_Vol*(AA64-1)/4)</f>
        <v/>
      </c>
      <c r="AL64" s="29" t="str">
        <f aca="false">IF($AI64&lt;&gt;"Completo","",(1-F_Pen*(AE64-1)/4)*(1-F_Pen*(AD64-1)/4))</f>
        <v/>
      </c>
      <c r="AM64" s="29" t="str">
        <f aca="false">IF($AI64&lt;&gt;"Completo","",SQRT(AK64*AL64))</f>
        <v/>
      </c>
      <c r="AN64" s="30" t="str">
        <f aca="false">IF($AI64&lt;&gt;"Completo","",100*AJ64^Exp_V*AM64^Exp_Vb)</f>
        <v/>
      </c>
      <c r="AO64" s="15" t="str">
        <f aca="false">IF(AN64="","",IF(AJ64&gt;=Corte,IF(AM64&gt;=Corte,"Fazer primeiro","Projeto estratégico"),IF(AM64&gt;=Corte,"Quick win","Evitar")))</f>
        <v/>
      </c>
      <c r="AP64" s="15" t="str">
        <f aca="false">IF(AN64="","",IF(OR(AD64&gt;=Trava_Nota,AE64&gt;=Trava_Nota),"SIM","—"))</f>
        <v/>
      </c>
      <c r="AQ64" s="15" t="str">
        <f aca="false">IF(AN64="","",IF(MAX(AF64,AG64)&lt;=Rota_Nota,"SIM","—"))</f>
        <v/>
      </c>
      <c r="AR64" s="15" t="str">
        <f aca="false">IF(AN64="","",IF(Z64&lt;=Rota_Nota,"SIM","—"))</f>
        <v/>
      </c>
      <c r="AS64" s="15" t="str">
        <f aca="false">IF(AN64="","",IF(AP64="SIM",IF(AJ64&gt;=Corte,"Projeto estratégico","Evitar"),AO64))</f>
        <v/>
      </c>
      <c r="AT64" s="15" t="str">
        <f aca="false">IF(AN64="","",IF(OR(AND(AJ64&gt;=Fr_Min,AJ64&lt;=Fr_Max),AND(AM64&gt;=Fr_Min,AM64&lt;=Fr_Max)),"Revisar",""))</f>
        <v/>
      </c>
      <c r="AU64" s="15" t="str">
        <f aca="false">IF(BE64="","",COUNTIF($BE$6:$BE$105,"&gt;"&amp;BE64)+1)</f>
        <v/>
      </c>
      <c r="AV64" s="16"/>
      <c r="AW64" s="15" t="str">
        <f aca="false">IF(B64="","",IF(AV64&lt;&gt;"",AV64,'MEUS PROCESSOS'!M64))</f>
        <v/>
      </c>
      <c r="AX64" s="23"/>
      <c r="AY64" s="31" t="str">
        <f aca="false">IF(AW64="","",IF(AX64&lt;&gt;"",AX64,IF(AW64="S",Red_S,IF(AW64="P",Red_P,IF(AW64="A",Red_A,IF(AW64="IA",Red_IA,""))))))</f>
        <v/>
      </c>
      <c r="AZ64" s="27" t="str">
        <f aca="false">IF(OR(V64="",AY64=""),"",(T64+U64)*AY64)</f>
        <v/>
      </c>
      <c r="BA64" s="27" t="str">
        <f aca="false">IF(OR(V64="",AY64=""),"",(R64+S64)*AY64)</f>
        <v/>
      </c>
      <c r="BB64" s="27" t="str">
        <f aca="false">IF(AZ64="","",AZ64+BA64)</f>
        <v/>
      </c>
      <c r="BC64" s="27" t="str">
        <f aca="false">IF(OR(P64="",AY64=""),"",(P64*(1+N(J64))+N(M64))*12*AY64)</f>
        <v/>
      </c>
      <c r="BD64" s="18" t="str">
        <f aca="false">IF(B64="","",IF(AND(AW64="E",AX64=""),"Eliminar: informe quanto do esforço atual deixa de existir (0% a 100%). Não há percentual inicial sugerido.",IF(AND(AX64="",AY64&lt;&gt;""),"Redução pela faixa inicial para simulação","")))</f>
        <v/>
      </c>
      <c r="BE64" s="19" t="str">
        <f aca="false">IF(AND(AN64&lt;&gt;"",D64=1),AN64+(1000-A64)/1000000,"")</f>
        <v/>
      </c>
    </row>
    <row r="65" customFormat="false" ht="15" hidden="false" customHeight="false" outlineLevel="0" collapsed="false">
      <c r="A65" s="15" t="n">
        <v>60</v>
      </c>
      <c r="B65" s="18" t="str">
        <f aca="false">IF('MEUS PROCESSOS'!J65="","",'MEUS PROCESSOS'!J65)</f>
        <v/>
      </c>
      <c r="C65" s="15" t="str">
        <f aca="false">IF('MEUS PROCESSOS'!K65="","",'MEUS PROCESSOS'!K65)</f>
        <v/>
      </c>
      <c r="D65" s="19" t="n">
        <f aca="false">'MEUS PROCESSOS'!Q65</f>
        <v>0</v>
      </c>
      <c r="E65" s="16"/>
      <c r="F65" s="16"/>
      <c r="G65" s="16"/>
      <c r="H65" s="16"/>
      <c r="I65" s="22"/>
      <c r="J65" s="23"/>
      <c r="K65" s="16"/>
      <c r="L65" s="24"/>
      <c r="M65" s="16"/>
      <c r="N65" s="24"/>
      <c r="O65" s="25" t="str">
        <f aca="false">IF(OR(E65="",F65=""),"",F65*IF(E65="Diária",Mult_Diaria,IF(E65="Semanal",Mult_Semanal,1)))</f>
        <v/>
      </c>
      <c r="P65" s="25" t="str">
        <f aca="false">IF(OR(O65="",G65="",H65=""),"",O65*G65/60*H65)</f>
        <v/>
      </c>
      <c r="Q65" s="26" t="str">
        <f aca="false">IF(I65&lt;&gt;"",I65,IF(Custo_Hora_Padrao&lt;&gt;"",Custo_Hora_Padrao,""))</f>
        <v/>
      </c>
      <c r="R65" s="27" t="str">
        <f aca="false">IF(OR(P65="",Q65=""),"",P65*Q65*12)</f>
        <v/>
      </c>
      <c r="S65" s="27" t="str">
        <f aca="false">IF(R65="","",R65*N(J65))</f>
        <v/>
      </c>
      <c r="T65" s="27" t="str">
        <f aca="false">IF(R65="","",N(K65)*N(L65)*12)</f>
        <v/>
      </c>
      <c r="U65" s="27" t="str">
        <f aca="false">IF(R65="","",(N(M65)*Q65*HE_Fator+N(N65))*12)</f>
        <v/>
      </c>
      <c r="V65" s="28" t="str">
        <f aca="false">IF(R65="","",R65+S65+T65+U65)</f>
        <v/>
      </c>
      <c r="W65" s="15" t="str">
        <f aca="false">IF(V65="","",IF(V65&lt;=Faixa_1,1,IF(V65&lt;=Faixa_2,2,IF(V65&lt;=Faixa_3,3,IF(V65&lt;=Faixa_4,4,5)))))</f>
        <v/>
      </c>
      <c r="X65" s="16"/>
      <c r="Y65" s="16"/>
      <c r="Z65" s="16"/>
      <c r="AA65" s="16"/>
      <c r="AB65" s="16"/>
      <c r="AC65" s="16"/>
      <c r="AD65" s="16"/>
      <c r="AE65" s="16"/>
      <c r="AF65" s="15" t="str">
        <f aca="false">IF(AB65&lt;&gt;"",AB65,IF('MEUS PROCESSOS'!N65="Alto",Sug_Alto,IF('MEUS PROCESSOS'!N65="Médio",Sug_Medio,IF('MEUS PROCESSOS'!N65="Baixo",Sug_Baixo,""))))</f>
        <v/>
      </c>
      <c r="AG65" s="15" t="str">
        <f aca="false">IF(AC65&lt;&gt;"",AC65,IF('MEUS PROCESSOS'!O65="Alto",Sug_Alto,IF('MEUS PROCESSOS'!O65="Médio",Sug_Medio,IF('MEUS PROCESSOS'!O65="Baixo",Sug_Baixo,""))))</f>
        <v/>
      </c>
      <c r="AH65" s="15" t="str">
        <f aca="false">IF(B65="","",IF(AND(AB65&lt;&gt;"",AC65&lt;&gt;""),"Avaliado pela empresa",IF(AND(AB65="",AC65="",'MEUS PROCESSOS'!N65&lt;&gt;""),"Sugestão da biblioteca",IF('MEUS PROCESSOS'!N65&lt;&gt;"","Parcialmente sugerido",IF(AND(AB65="",AC65=""),"","Avaliado pela empresa")))))</f>
        <v/>
      </c>
      <c r="AI65" s="18" t="str">
        <f aca="false">IF(B65="","",IF(AND((COUNTBLANK(X65:AA65)+COUNTBLANK(AD65:AE65)+(AF65="")*1+(AG65="")*1)=0,W65&lt;&gt;""),"Completo","Incompleto — faltam "&amp;IF((COUNTBLANK(X65:AA65)+COUNTBLANK(AD65:AE65)+(AF65="")*1+(AG65="")*1)&gt;0,(COUNTBLANK(X65:AA65)+COUNTBLANK(AD65:AE65)+(AF65="")*1+(AG65="")*1)&amp;IF((COUNTBLANK(X65:AA65)+COUNTBLANK(AD65:AE65)+(AF65="")*1+(AG65="")*1)=1," avaliação"," avaliações"),"")&amp;IF(AND((COUNTBLANK(X65:AA65)+COUNTBLANK(AD65:AE65)+(AF65="")*1+(AG65="")*1)&gt;0,W65=""), " e ","")&amp;IF(W65="","os dados de custo","")))</f>
        <v/>
      </c>
      <c r="AJ65" s="29" t="str">
        <f aca="false">IF($AI65&lt;&gt;"Completo","",W_Custo*(W65-1)/4+W_Imp*(X65-1)/4)</f>
        <v/>
      </c>
      <c r="AK65" s="29" t="str">
        <f aca="false">IF($AI65&lt;&gt;"Completo","",W_Pot*(MAX(AF65,AG65)-1)/4+W_Rep*(Y65-1)/4+W_Pad*(Z65-1)/4+W_Vol*(AA65-1)/4)</f>
        <v/>
      </c>
      <c r="AL65" s="29" t="str">
        <f aca="false">IF($AI65&lt;&gt;"Completo","",(1-F_Pen*(AE65-1)/4)*(1-F_Pen*(AD65-1)/4))</f>
        <v/>
      </c>
      <c r="AM65" s="29" t="str">
        <f aca="false">IF($AI65&lt;&gt;"Completo","",SQRT(AK65*AL65))</f>
        <v/>
      </c>
      <c r="AN65" s="30" t="str">
        <f aca="false">IF($AI65&lt;&gt;"Completo","",100*AJ65^Exp_V*AM65^Exp_Vb)</f>
        <v/>
      </c>
      <c r="AO65" s="15" t="str">
        <f aca="false">IF(AN65="","",IF(AJ65&gt;=Corte,IF(AM65&gt;=Corte,"Fazer primeiro","Projeto estratégico"),IF(AM65&gt;=Corte,"Quick win","Evitar")))</f>
        <v/>
      </c>
      <c r="AP65" s="15" t="str">
        <f aca="false">IF(AN65="","",IF(OR(AD65&gt;=Trava_Nota,AE65&gt;=Trava_Nota),"SIM","—"))</f>
        <v/>
      </c>
      <c r="AQ65" s="15" t="str">
        <f aca="false">IF(AN65="","",IF(MAX(AF65,AG65)&lt;=Rota_Nota,"SIM","—"))</f>
        <v/>
      </c>
      <c r="AR65" s="15" t="str">
        <f aca="false">IF(AN65="","",IF(Z65&lt;=Rota_Nota,"SIM","—"))</f>
        <v/>
      </c>
      <c r="AS65" s="15" t="str">
        <f aca="false">IF(AN65="","",IF(AP65="SIM",IF(AJ65&gt;=Corte,"Projeto estratégico","Evitar"),AO65))</f>
        <v/>
      </c>
      <c r="AT65" s="15" t="str">
        <f aca="false">IF(AN65="","",IF(OR(AND(AJ65&gt;=Fr_Min,AJ65&lt;=Fr_Max),AND(AM65&gt;=Fr_Min,AM65&lt;=Fr_Max)),"Revisar",""))</f>
        <v/>
      </c>
      <c r="AU65" s="15" t="str">
        <f aca="false">IF(BE65="","",COUNTIF($BE$6:$BE$105,"&gt;"&amp;BE65)+1)</f>
        <v/>
      </c>
      <c r="AV65" s="16"/>
      <c r="AW65" s="15" t="str">
        <f aca="false">IF(B65="","",IF(AV65&lt;&gt;"",AV65,'MEUS PROCESSOS'!M65))</f>
        <v/>
      </c>
      <c r="AX65" s="23"/>
      <c r="AY65" s="31" t="str">
        <f aca="false">IF(AW65="","",IF(AX65&lt;&gt;"",AX65,IF(AW65="S",Red_S,IF(AW65="P",Red_P,IF(AW65="A",Red_A,IF(AW65="IA",Red_IA,""))))))</f>
        <v/>
      </c>
      <c r="AZ65" s="27" t="str">
        <f aca="false">IF(OR(V65="",AY65=""),"",(T65+U65)*AY65)</f>
        <v/>
      </c>
      <c r="BA65" s="27" t="str">
        <f aca="false">IF(OR(V65="",AY65=""),"",(R65+S65)*AY65)</f>
        <v/>
      </c>
      <c r="BB65" s="27" t="str">
        <f aca="false">IF(AZ65="","",AZ65+BA65)</f>
        <v/>
      </c>
      <c r="BC65" s="27" t="str">
        <f aca="false">IF(OR(P65="",AY65=""),"",(P65*(1+N(J65))+N(M65))*12*AY65)</f>
        <v/>
      </c>
      <c r="BD65" s="18" t="str">
        <f aca="false">IF(B65="","",IF(AND(AW65="E",AX65=""),"Eliminar: informe quanto do esforço atual deixa de existir (0% a 100%). Não há percentual inicial sugerido.",IF(AND(AX65="",AY65&lt;&gt;""),"Redução pela faixa inicial para simulação","")))</f>
        <v/>
      </c>
      <c r="BE65" s="19" t="str">
        <f aca="false">IF(AND(AN65&lt;&gt;"",D65=1),AN65+(1000-A65)/1000000,"")</f>
        <v/>
      </c>
    </row>
    <row r="66" customFormat="false" ht="15" hidden="false" customHeight="false" outlineLevel="0" collapsed="false">
      <c r="A66" s="15" t="n">
        <v>61</v>
      </c>
      <c r="B66" s="18" t="str">
        <f aca="false">IF('MEUS PROCESSOS'!J66="","",'MEUS PROCESSOS'!J66)</f>
        <v/>
      </c>
      <c r="C66" s="15" t="str">
        <f aca="false">IF('MEUS PROCESSOS'!K66="","",'MEUS PROCESSOS'!K66)</f>
        <v/>
      </c>
      <c r="D66" s="19" t="n">
        <f aca="false">'MEUS PROCESSOS'!Q66</f>
        <v>0</v>
      </c>
      <c r="E66" s="16"/>
      <c r="F66" s="16"/>
      <c r="G66" s="16"/>
      <c r="H66" s="16"/>
      <c r="I66" s="22"/>
      <c r="J66" s="23"/>
      <c r="K66" s="16"/>
      <c r="L66" s="24"/>
      <c r="M66" s="16"/>
      <c r="N66" s="24"/>
      <c r="O66" s="25" t="str">
        <f aca="false">IF(OR(E66="",F66=""),"",F66*IF(E66="Diária",Mult_Diaria,IF(E66="Semanal",Mult_Semanal,1)))</f>
        <v/>
      </c>
      <c r="P66" s="25" t="str">
        <f aca="false">IF(OR(O66="",G66="",H66=""),"",O66*G66/60*H66)</f>
        <v/>
      </c>
      <c r="Q66" s="26" t="str">
        <f aca="false">IF(I66&lt;&gt;"",I66,IF(Custo_Hora_Padrao&lt;&gt;"",Custo_Hora_Padrao,""))</f>
        <v/>
      </c>
      <c r="R66" s="27" t="str">
        <f aca="false">IF(OR(P66="",Q66=""),"",P66*Q66*12)</f>
        <v/>
      </c>
      <c r="S66" s="27" t="str">
        <f aca="false">IF(R66="","",R66*N(J66))</f>
        <v/>
      </c>
      <c r="T66" s="27" t="str">
        <f aca="false">IF(R66="","",N(K66)*N(L66)*12)</f>
        <v/>
      </c>
      <c r="U66" s="27" t="str">
        <f aca="false">IF(R66="","",(N(M66)*Q66*HE_Fator+N(N66))*12)</f>
        <v/>
      </c>
      <c r="V66" s="28" t="str">
        <f aca="false">IF(R66="","",R66+S66+T66+U66)</f>
        <v/>
      </c>
      <c r="W66" s="15" t="str">
        <f aca="false">IF(V66="","",IF(V66&lt;=Faixa_1,1,IF(V66&lt;=Faixa_2,2,IF(V66&lt;=Faixa_3,3,IF(V66&lt;=Faixa_4,4,5)))))</f>
        <v/>
      </c>
      <c r="X66" s="16"/>
      <c r="Y66" s="16"/>
      <c r="Z66" s="16"/>
      <c r="AA66" s="16"/>
      <c r="AB66" s="16"/>
      <c r="AC66" s="16"/>
      <c r="AD66" s="16"/>
      <c r="AE66" s="16"/>
      <c r="AF66" s="15" t="str">
        <f aca="false">IF(AB66&lt;&gt;"",AB66,IF('MEUS PROCESSOS'!N66="Alto",Sug_Alto,IF('MEUS PROCESSOS'!N66="Médio",Sug_Medio,IF('MEUS PROCESSOS'!N66="Baixo",Sug_Baixo,""))))</f>
        <v/>
      </c>
      <c r="AG66" s="15" t="str">
        <f aca="false">IF(AC66&lt;&gt;"",AC66,IF('MEUS PROCESSOS'!O66="Alto",Sug_Alto,IF('MEUS PROCESSOS'!O66="Médio",Sug_Medio,IF('MEUS PROCESSOS'!O66="Baixo",Sug_Baixo,""))))</f>
        <v/>
      </c>
      <c r="AH66" s="15" t="str">
        <f aca="false">IF(B66="","",IF(AND(AB66&lt;&gt;"",AC66&lt;&gt;""),"Avaliado pela empresa",IF(AND(AB66="",AC66="",'MEUS PROCESSOS'!N66&lt;&gt;""),"Sugestão da biblioteca",IF('MEUS PROCESSOS'!N66&lt;&gt;"","Parcialmente sugerido",IF(AND(AB66="",AC66=""),"","Avaliado pela empresa")))))</f>
        <v/>
      </c>
      <c r="AI66" s="18" t="str">
        <f aca="false">IF(B66="","",IF(AND((COUNTBLANK(X66:AA66)+COUNTBLANK(AD66:AE66)+(AF66="")*1+(AG66="")*1)=0,W66&lt;&gt;""),"Completo","Incompleto — faltam "&amp;IF((COUNTBLANK(X66:AA66)+COUNTBLANK(AD66:AE66)+(AF66="")*1+(AG66="")*1)&gt;0,(COUNTBLANK(X66:AA66)+COUNTBLANK(AD66:AE66)+(AF66="")*1+(AG66="")*1)&amp;IF((COUNTBLANK(X66:AA66)+COUNTBLANK(AD66:AE66)+(AF66="")*1+(AG66="")*1)=1," avaliação"," avaliações"),"")&amp;IF(AND((COUNTBLANK(X66:AA66)+COUNTBLANK(AD66:AE66)+(AF66="")*1+(AG66="")*1)&gt;0,W66=""), " e ","")&amp;IF(W66="","os dados de custo","")))</f>
        <v/>
      </c>
      <c r="AJ66" s="29" t="str">
        <f aca="false">IF($AI66&lt;&gt;"Completo","",W_Custo*(W66-1)/4+W_Imp*(X66-1)/4)</f>
        <v/>
      </c>
      <c r="AK66" s="29" t="str">
        <f aca="false">IF($AI66&lt;&gt;"Completo","",W_Pot*(MAX(AF66,AG66)-1)/4+W_Rep*(Y66-1)/4+W_Pad*(Z66-1)/4+W_Vol*(AA66-1)/4)</f>
        <v/>
      </c>
      <c r="AL66" s="29" t="str">
        <f aca="false">IF($AI66&lt;&gt;"Completo","",(1-F_Pen*(AE66-1)/4)*(1-F_Pen*(AD66-1)/4))</f>
        <v/>
      </c>
      <c r="AM66" s="29" t="str">
        <f aca="false">IF($AI66&lt;&gt;"Completo","",SQRT(AK66*AL66))</f>
        <v/>
      </c>
      <c r="AN66" s="30" t="str">
        <f aca="false">IF($AI66&lt;&gt;"Completo","",100*AJ66^Exp_V*AM66^Exp_Vb)</f>
        <v/>
      </c>
      <c r="AO66" s="15" t="str">
        <f aca="false">IF(AN66="","",IF(AJ66&gt;=Corte,IF(AM66&gt;=Corte,"Fazer primeiro","Projeto estratégico"),IF(AM66&gt;=Corte,"Quick win","Evitar")))</f>
        <v/>
      </c>
      <c r="AP66" s="15" t="str">
        <f aca="false">IF(AN66="","",IF(OR(AD66&gt;=Trava_Nota,AE66&gt;=Trava_Nota),"SIM","—"))</f>
        <v/>
      </c>
      <c r="AQ66" s="15" t="str">
        <f aca="false">IF(AN66="","",IF(MAX(AF66,AG66)&lt;=Rota_Nota,"SIM","—"))</f>
        <v/>
      </c>
      <c r="AR66" s="15" t="str">
        <f aca="false">IF(AN66="","",IF(Z66&lt;=Rota_Nota,"SIM","—"))</f>
        <v/>
      </c>
      <c r="AS66" s="15" t="str">
        <f aca="false">IF(AN66="","",IF(AP66="SIM",IF(AJ66&gt;=Corte,"Projeto estratégico","Evitar"),AO66))</f>
        <v/>
      </c>
      <c r="AT66" s="15" t="str">
        <f aca="false">IF(AN66="","",IF(OR(AND(AJ66&gt;=Fr_Min,AJ66&lt;=Fr_Max),AND(AM66&gt;=Fr_Min,AM66&lt;=Fr_Max)),"Revisar",""))</f>
        <v/>
      </c>
      <c r="AU66" s="15" t="str">
        <f aca="false">IF(BE66="","",COUNTIF($BE$6:$BE$105,"&gt;"&amp;BE66)+1)</f>
        <v/>
      </c>
      <c r="AV66" s="16"/>
      <c r="AW66" s="15" t="str">
        <f aca="false">IF(B66="","",IF(AV66&lt;&gt;"",AV66,'MEUS PROCESSOS'!M66))</f>
        <v/>
      </c>
      <c r="AX66" s="23"/>
      <c r="AY66" s="31" t="str">
        <f aca="false">IF(AW66="","",IF(AX66&lt;&gt;"",AX66,IF(AW66="S",Red_S,IF(AW66="P",Red_P,IF(AW66="A",Red_A,IF(AW66="IA",Red_IA,""))))))</f>
        <v/>
      </c>
      <c r="AZ66" s="27" t="str">
        <f aca="false">IF(OR(V66="",AY66=""),"",(T66+U66)*AY66)</f>
        <v/>
      </c>
      <c r="BA66" s="27" t="str">
        <f aca="false">IF(OR(V66="",AY66=""),"",(R66+S66)*AY66)</f>
        <v/>
      </c>
      <c r="BB66" s="27" t="str">
        <f aca="false">IF(AZ66="","",AZ66+BA66)</f>
        <v/>
      </c>
      <c r="BC66" s="27" t="str">
        <f aca="false">IF(OR(P66="",AY66=""),"",(P66*(1+N(J66))+N(M66))*12*AY66)</f>
        <v/>
      </c>
      <c r="BD66" s="18" t="str">
        <f aca="false">IF(B66="","",IF(AND(AW66="E",AX66=""),"Eliminar: informe quanto do esforço atual deixa de existir (0% a 100%). Não há percentual inicial sugerido.",IF(AND(AX66="",AY66&lt;&gt;""),"Redução pela faixa inicial para simulação","")))</f>
        <v/>
      </c>
      <c r="BE66" s="19" t="str">
        <f aca="false">IF(AND(AN66&lt;&gt;"",D66=1),AN66+(1000-A66)/1000000,"")</f>
        <v/>
      </c>
    </row>
    <row r="67" customFormat="false" ht="15" hidden="false" customHeight="false" outlineLevel="0" collapsed="false">
      <c r="A67" s="15" t="n">
        <v>62</v>
      </c>
      <c r="B67" s="18" t="str">
        <f aca="false">IF('MEUS PROCESSOS'!J67="","",'MEUS PROCESSOS'!J67)</f>
        <v/>
      </c>
      <c r="C67" s="15" t="str">
        <f aca="false">IF('MEUS PROCESSOS'!K67="","",'MEUS PROCESSOS'!K67)</f>
        <v/>
      </c>
      <c r="D67" s="19" t="n">
        <f aca="false">'MEUS PROCESSOS'!Q67</f>
        <v>0</v>
      </c>
      <c r="E67" s="16"/>
      <c r="F67" s="16"/>
      <c r="G67" s="16"/>
      <c r="H67" s="16"/>
      <c r="I67" s="22"/>
      <c r="J67" s="23"/>
      <c r="K67" s="16"/>
      <c r="L67" s="24"/>
      <c r="M67" s="16"/>
      <c r="N67" s="24"/>
      <c r="O67" s="25" t="str">
        <f aca="false">IF(OR(E67="",F67=""),"",F67*IF(E67="Diária",Mult_Diaria,IF(E67="Semanal",Mult_Semanal,1)))</f>
        <v/>
      </c>
      <c r="P67" s="25" t="str">
        <f aca="false">IF(OR(O67="",G67="",H67=""),"",O67*G67/60*H67)</f>
        <v/>
      </c>
      <c r="Q67" s="26" t="str">
        <f aca="false">IF(I67&lt;&gt;"",I67,IF(Custo_Hora_Padrao&lt;&gt;"",Custo_Hora_Padrao,""))</f>
        <v/>
      </c>
      <c r="R67" s="27" t="str">
        <f aca="false">IF(OR(P67="",Q67=""),"",P67*Q67*12)</f>
        <v/>
      </c>
      <c r="S67" s="27" t="str">
        <f aca="false">IF(R67="","",R67*N(J67))</f>
        <v/>
      </c>
      <c r="T67" s="27" t="str">
        <f aca="false">IF(R67="","",N(K67)*N(L67)*12)</f>
        <v/>
      </c>
      <c r="U67" s="27" t="str">
        <f aca="false">IF(R67="","",(N(M67)*Q67*HE_Fator+N(N67))*12)</f>
        <v/>
      </c>
      <c r="V67" s="28" t="str">
        <f aca="false">IF(R67="","",R67+S67+T67+U67)</f>
        <v/>
      </c>
      <c r="W67" s="15" t="str">
        <f aca="false">IF(V67="","",IF(V67&lt;=Faixa_1,1,IF(V67&lt;=Faixa_2,2,IF(V67&lt;=Faixa_3,3,IF(V67&lt;=Faixa_4,4,5)))))</f>
        <v/>
      </c>
      <c r="X67" s="16"/>
      <c r="Y67" s="16"/>
      <c r="Z67" s="16"/>
      <c r="AA67" s="16"/>
      <c r="AB67" s="16"/>
      <c r="AC67" s="16"/>
      <c r="AD67" s="16"/>
      <c r="AE67" s="16"/>
      <c r="AF67" s="15" t="str">
        <f aca="false">IF(AB67&lt;&gt;"",AB67,IF('MEUS PROCESSOS'!N67="Alto",Sug_Alto,IF('MEUS PROCESSOS'!N67="Médio",Sug_Medio,IF('MEUS PROCESSOS'!N67="Baixo",Sug_Baixo,""))))</f>
        <v/>
      </c>
      <c r="AG67" s="15" t="str">
        <f aca="false">IF(AC67&lt;&gt;"",AC67,IF('MEUS PROCESSOS'!O67="Alto",Sug_Alto,IF('MEUS PROCESSOS'!O67="Médio",Sug_Medio,IF('MEUS PROCESSOS'!O67="Baixo",Sug_Baixo,""))))</f>
        <v/>
      </c>
      <c r="AH67" s="15" t="str">
        <f aca="false">IF(B67="","",IF(AND(AB67&lt;&gt;"",AC67&lt;&gt;""),"Avaliado pela empresa",IF(AND(AB67="",AC67="",'MEUS PROCESSOS'!N67&lt;&gt;""),"Sugestão da biblioteca",IF('MEUS PROCESSOS'!N67&lt;&gt;"","Parcialmente sugerido",IF(AND(AB67="",AC67=""),"","Avaliado pela empresa")))))</f>
        <v/>
      </c>
      <c r="AI67" s="18" t="str">
        <f aca="false">IF(B67="","",IF(AND((COUNTBLANK(X67:AA67)+COUNTBLANK(AD67:AE67)+(AF67="")*1+(AG67="")*1)=0,W67&lt;&gt;""),"Completo","Incompleto — faltam "&amp;IF((COUNTBLANK(X67:AA67)+COUNTBLANK(AD67:AE67)+(AF67="")*1+(AG67="")*1)&gt;0,(COUNTBLANK(X67:AA67)+COUNTBLANK(AD67:AE67)+(AF67="")*1+(AG67="")*1)&amp;IF((COUNTBLANK(X67:AA67)+COUNTBLANK(AD67:AE67)+(AF67="")*1+(AG67="")*1)=1," avaliação"," avaliações"),"")&amp;IF(AND((COUNTBLANK(X67:AA67)+COUNTBLANK(AD67:AE67)+(AF67="")*1+(AG67="")*1)&gt;0,W67=""), " e ","")&amp;IF(W67="","os dados de custo","")))</f>
        <v/>
      </c>
      <c r="AJ67" s="29" t="str">
        <f aca="false">IF($AI67&lt;&gt;"Completo","",W_Custo*(W67-1)/4+W_Imp*(X67-1)/4)</f>
        <v/>
      </c>
      <c r="AK67" s="29" t="str">
        <f aca="false">IF($AI67&lt;&gt;"Completo","",W_Pot*(MAX(AF67,AG67)-1)/4+W_Rep*(Y67-1)/4+W_Pad*(Z67-1)/4+W_Vol*(AA67-1)/4)</f>
        <v/>
      </c>
      <c r="AL67" s="29" t="str">
        <f aca="false">IF($AI67&lt;&gt;"Completo","",(1-F_Pen*(AE67-1)/4)*(1-F_Pen*(AD67-1)/4))</f>
        <v/>
      </c>
      <c r="AM67" s="29" t="str">
        <f aca="false">IF($AI67&lt;&gt;"Completo","",SQRT(AK67*AL67))</f>
        <v/>
      </c>
      <c r="AN67" s="30" t="str">
        <f aca="false">IF($AI67&lt;&gt;"Completo","",100*AJ67^Exp_V*AM67^Exp_Vb)</f>
        <v/>
      </c>
      <c r="AO67" s="15" t="str">
        <f aca="false">IF(AN67="","",IF(AJ67&gt;=Corte,IF(AM67&gt;=Corte,"Fazer primeiro","Projeto estratégico"),IF(AM67&gt;=Corte,"Quick win","Evitar")))</f>
        <v/>
      </c>
      <c r="AP67" s="15" t="str">
        <f aca="false">IF(AN67="","",IF(OR(AD67&gt;=Trava_Nota,AE67&gt;=Trava_Nota),"SIM","—"))</f>
        <v/>
      </c>
      <c r="AQ67" s="15" t="str">
        <f aca="false">IF(AN67="","",IF(MAX(AF67,AG67)&lt;=Rota_Nota,"SIM","—"))</f>
        <v/>
      </c>
      <c r="AR67" s="15" t="str">
        <f aca="false">IF(AN67="","",IF(Z67&lt;=Rota_Nota,"SIM","—"))</f>
        <v/>
      </c>
      <c r="AS67" s="15" t="str">
        <f aca="false">IF(AN67="","",IF(AP67="SIM",IF(AJ67&gt;=Corte,"Projeto estratégico","Evitar"),AO67))</f>
        <v/>
      </c>
      <c r="AT67" s="15" t="str">
        <f aca="false">IF(AN67="","",IF(OR(AND(AJ67&gt;=Fr_Min,AJ67&lt;=Fr_Max),AND(AM67&gt;=Fr_Min,AM67&lt;=Fr_Max)),"Revisar",""))</f>
        <v/>
      </c>
      <c r="AU67" s="15" t="str">
        <f aca="false">IF(BE67="","",COUNTIF($BE$6:$BE$105,"&gt;"&amp;BE67)+1)</f>
        <v/>
      </c>
      <c r="AV67" s="16"/>
      <c r="AW67" s="15" t="str">
        <f aca="false">IF(B67="","",IF(AV67&lt;&gt;"",AV67,'MEUS PROCESSOS'!M67))</f>
        <v/>
      </c>
      <c r="AX67" s="23"/>
      <c r="AY67" s="31" t="str">
        <f aca="false">IF(AW67="","",IF(AX67&lt;&gt;"",AX67,IF(AW67="S",Red_S,IF(AW67="P",Red_P,IF(AW67="A",Red_A,IF(AW67="IA",Red_IA,""))))))</f>
        <v/>
      </c>
      <c r="AZ67" s="27" t="str">
        <f aca="false">IF(OR(V67="",AY67=""),"",(T67+U67)*AY67)</f>
        <v/>
      </c>
      <c r="BA67" s="27" t="str">
        <f aca="false">IF(OR(V67="",AY67=""),"",(R67+S67)*AY67)</f>
        <v/>
      </c>
      <c r="BB67" s="27" t="str">
        <f aca="false">IF(AZ67="","",AZ67+BA67)</f>
        <v/>
      </c>
      <c r="BC67" s="27" t="str">
        <f aca="false">IF(OR(P67="",AY67=""),"",(P67*(1+N(J67))+N(M67))*12*AY67)</f>
        <v/>
      </c>
      <c r="BD67" s="18" t="str">
        <f aca="false">IF(B67="","",IF(AND(AW67="E",AX67=""),"Eliminar: informe quanto do esforço atual deixa de existir (0% a 100%). Não há percentual inicial sugerido.",IF(AND(AX67="",AY67&lt;&gt;""),"Redução pela faixa inicial para simulação","")))</f>
        <v/>
      </c>
      <c r="BE67" s="19" t="str">
        <f aca="false">IF(AND(AN67&lt;&gt;"",D67=1),AN67+(1000-A67)/1000000,"")</f>
        <v/>
      </c>
    </row>
    <row r="68" customFormat="false" ht="15" hidden="false" customHeight="false" outlineLevel="0" collapsed="false">
      <c r="A68" s="15" t="n">
        <v>63</v>
      </c>
      <c r="B68" s="18" t="str">
        <f aca="false">IF('MEUS PROCESSOS'!J68="","",'MEUS PROCESSOS'!J68)</f>
        <v/>
      </c>
      <c r="C68" s="15" t="str">
        <f aca="false">IF('MEUS PROCESSOS'!K68="","",'MEUS PROCESSOS'!K68)</f>
        <v/>
      </c>
      <c r="D68" s="19" t="n">
        <f aca="false">'MEUS PROCESSOS'!Q68</f>
        <v>0</v>
      </c>
      <c r="E68" s="16"/>
      <c r="F68" s="16"/>
      <c r="G68" s="16"/>
      <c r="H68" s="16"/>
      <c r="I68" s="22"/>
      <c r="J68" s="23"/>
      <c r="K68" s="16"/>
      <c r="L68" s="24"/>
      <c r="M68" s="16"/>
      <c r="N68" s="24"/>
      <c r="O68" s="25" t="str">
        <f aca="false">IF(OR(E68="",F68=""),"",F68*IF(E68="Diária",Mult_Diaria,IF(E68="Semanal",Mult_Semanal,1)))</f>
        <v/>
      </c>
      <c r="P68" s="25" t="str">
        <f aca="false">IF(OR(O68="",G68="",H68=""),"",O68*G68/60*H68)</f>
        <v/>
      </c>
      <c r="Q68" s="26" t="str">
        <f aca="false">IF(I68&lt;&gt;"",I68,IF(Custo_Hora_Padrao&lt;&gt;"",Custo_Hora_Padrao,""))</f>
        <v/>
      </c>
      <c r="R68" s="27" t="str">
        <f aca="false">IF(OR(P68="",Q68=""),"",P68*Q68*12)</f>
        <v/>
      </c>
      <c r="S68" s="27" t="str">
        <f aca="false">IF(R68="","",R68*N(J68))</f>
        <v/>
      </c>
      <c r="T68" s="27" t="str">
        <f aca="false">IF(R68="","",N(K68)*N(L68)*12)</f>
        <v/>
      </c>
      <c r="U68" s="27" t="str">
        <f aca="false">IF(R68="","",(N(M68)*Q68*HE_Fator+N(N68))*12)</f>
        <v/>
      </c>
      <c r="V68" s="28" t="str">
        <f aca="false">IF(R68="","",R68+S68+T68+U68)</f>
        <v/>
      </c>
      <c r="W68" s="15" t="str">
        <f aca="false">IF(V68="","",IF(V68&lt;=Faixa_1,1,IF(V68&lt;=Faixa_2,2,IF(V68&lt;=Faixa_3,3,IF(V68&lt;=Faixa_4,4,5)))))</f>
        <v/>
      </c>
      <c r="X68" s="16"/>
      <c r="Y68" s="16"/>
      <c r="Z68" s="16"/>
      <c r="AA68" s="16"/>
      <c r="AB68" s="16"/>
      <c r="AC68" s="16"/>
      <c r="AD68" s="16"/>
      <c r="AE68" s="16"/>
      <c r="AF68" s="15" t="str">
        <f aca="false">IF(AB68&lt;&gt;"",AB68,IF('MEUS PROCESSOS'!N68="Alto",Sug_Alto,IF('MEUS PROCESSOS'!N68="Médio",Sug_Medio,IF('MEUS PROCESSOS'!N68="Baixo",Sug_Baixo,""))))</f>
        <v/>
      </c>
      <c r="AG68" s="15" t="str">
        <f aca="false">IF(AC68&lt;&gt;"",AC68,IF('MEUS PROCESSOS'!O68="Alto",Sug_Alto,IF('MEUS PROCESSOS'!O68="Médio",Sug_Medio,IF('MEUS PROCESSOS'!O68="Baixo",Sug_Baixo,""))))</f>
        <v/>
      </c>
      <c r="AH68" s="15" t="str">
        <f aca="false">IF(B68="","",IF(AND(AB68&lt;&gt;"",AC68&lt;&gt;""),"Avaliado pela empresa",IF(AND(AB68="",AC68="",'MEUS PROCESSOS'!N68&lt;&gt;""),"Sugestão da biblioteca",IF('MEUS PROCESSOS'!N68&lt;&gt;"","Parcialmente sugerido",IF(AND(AB68="",AC68=""),"","Avaliado pela empresa")))))</f>
        <v/>
      </c>
      <c r="AI68" s="18" t="str">
        <f aca="false">IF(B68="","",IF(AND((COUNTBLANK(X68:AA68)+COUNTBLANK(AD68:AE68)+(AF68="")*1+(AG68="")*1)=0,W68&lt;&gt;""),"Completo","Incompleto — faltam "&amp;IF((COUNTBLANK(X68:AA68)+COUNTBLANK(AD68:AE68)+(AF68="")*1+(AG68="")*1)&gt;0,(COUNTBLANK(X68:AA68)+COUNTBLANK(AD68:AE68)+(AF68="")*1+(AG68="")*1)&amp;IF((COUNTBLANK(X68:AA68)+COUNTBLANK(AD68:AE68)+(AF68="")*1+(AG68="")*1)=1," avaliação"," avaliações"),"")&amp;IF(AND((COUNTBLANK(X68:AA68)+COUNTBLANK(AD68:AE68)+(AF68="")*1+(AG68="")*1)&gt;0,W68=""), " e ","")&amp;IF(W68="","os dados de custo","")))</f>
        <v/>
      </c>
      <c r="AJ68" s="29" t="str">
        <f aca="false">IF($AI68&lt;&gt;"Completo","",W_Custo*(W68-1)/4+W_Imp*(X68-1)/4)</f>
        <v/>
      </c>
      <c r="AK68" s="29" t="str">
        <f aca="false">IF($AI68&lt;&gt;"Completo","",W_Pot*(MAX(AF68,AG68)-1)/4+W_Rep*(Y68-1)/4+W_Pad*(Z68-1)/4+W_Vol*(AA68-1)/4)</f>
        <v/>
      </c>
      <c r="AL68" s="29" t="str">
        <f aca="false">IF($AI68&lt;&gt;"Completo","",(1-F_Pen*(AE68-1)/4)*(1-F_Pen*(AD68-1)/4))</f>
        <v/>
      </c>
      <c r="AM68" s="29" t="str">
        <f aca="false">IF($AI68&lt;&gt;"Completo","",SQRT(AK68*AL68))</f>
        <v/>
      </c>
      <c r="AN68" s="30" t="str">
        <f aca="false">IF($AI68&lt;&gt;"Completo","",100*AJ68^Exp_V*AM68^Exp_Vb)</f>
        <v/>
      </c>
      <c r="AO68" s="15" t="str">
        <f aca="false">IF(AN68="","",IF(AJ68&gt;=Corte,IF(AM68&gt;=Corte,"Fazer primeiro","Projeto estratégico"),IF(AM68&gt;=Corte,"Quick win","Evitar")))</f>
        <v/>
      </c>
      <c r="AP68" s="15" t="str">
        <f aca="false">IF(AN68="","",IF(OR(AD68&gt;=Trava_Nota,AE68&gt;=Trava_Nota),"SIM","—"))</f>
        <v/>
      </c>
      <c r="AQ68" s="15" t="str">
        <f aca="false">IF(AN68="","",IF(MAX(AF68,AG68)&lt;=Rota_Nota,"SIM","—"))</f>
        <v/>
      </c>
      <c r="AR68" s="15" t="str">
        <f aca="false">IF(AN68="","",IF(Z68&lt;=Rota_Nota,"SIM","—"))</f>
        <v/>
      </c>
      <c r="AS68" s="15" t="str">
        <f aca="false">IF(AN68="","",IF(AP68="SIM",IF(AJ68&gt;=Corte,"Projeto estratégico","Evitar"),AO68))</f>
        <v/>
      </c>
      <c r="AT68" s="15" t="str">
        <f aca="false">IF(AN68="","",IF(OR(AND(AJ68&gt;=Fr_Min,AJ68&lt;=Fr_Max),AND(AM68&gt;=Fr_Min,AM68&lt;=Fr_Max)),"Revisar",""))</f>
        <v/>
      </c>
      <c r="AU68" s="15" t="str">
        <f aca="false">IF(BE68="","",COUNTIF($BE$6:$BE$105,"&gt;"&amp;BE68)+1)</f>
        <v/>
      </c>
      <c r="AV68" s="16"/>
      <c r="AW68" s="15" t="str">
        <f aca="false">IF(B68="","",IF(AV68&lt;&gt;"",AV68,'MEUS PROCESSOS'!M68))</f>
        <v/>
      </c>
      <c r="AX68" s="23"/>
      <c r="AY68" s="31" t="str">
        <f aca="false">IF(AW68="","",IF(AX68&lt;&gt;"",AX68,IF(AW68="S",Red_S,IF(AW68="P",Red_P,IF(AW68="A",Red_A,IF(AW68="IA",Red_IA,""))))))</f>
        <v/>
      </c>
      <c r="AZ68" s="27" t="str">
        <f aca="false">IF(OR(V68="",AY68=""),"",(T68+U68)*AY68)</f>
        <v/>
      </c>
      <c r="BA68" s="27" t="str">
        <f aca="false">IF(OR(V68="",AY68=""),"",(R68+S68)*AY68)</f>
        <v/>
      </c>
      <c r="BB68" s="27" t="str">
        <f aca="false">IF(AZ68="","",AZ68+BA68)</f>
        <v/>
      </c>
      <c r="BC68" s="27" t="str">
        <f aca="false">IF(OR(P68="",AY68=""),"",(P68*(1+N(J68))+N(M68))*12*AY68)</f>
        <v/>
      </c>
      <c r="BD68" s="18" t="str">
        <f aca="false">IF(B68="","",IF(AND(AW68="E",AX68=""),"Eliminar: informe quanto do esforço atual deixa de existir (0% a 100%). Não há percentual inicial sugerido.",IF(AND(AX68="",AY68&lt;&gt;""),"Redução pela faixa inicial para simulação","")))</f>
        <v/>
      </c>
      <c r="BE68" s="19" t="str">
        <f aca="false">IF(AND(AN68&lt;&gt;"",D68=1),AN68+(1000-A68)/1000000,"")</f>
        <v/>
      </c>
    </row>
    <row r="69" customFormat="false" ht="15" hidden="false" customHeight="false" outlineLevel="0" collapsed="false">
      <c r="A69" s="15" t="n">
        <v>64</v>
      </c>
      <c r="B69" s="18" t="str">
        <f aca="false">IF('MEUS PROCESSOS'!J69="","",'MEUS PROCESSOS'!J69)</f>
        <v/>
      </c>
      <c r="C69" s="15" t="str">
        <f aca="false">IF('MEUS PROCESSOS'!K69="","",'MEUS PROCESSOS'!K69)</f>
        <v/>
      </c>
      <c r="D69" s="19" t="n">
        <f aca="false">'MEUS PROCESSOS'!Q69</f>
        <v>0</v>
      </c>
      <c r="E69" s="16"/>
      <c r="F69" s="16"/>
      <c r="G69" s="16"/>
      <c r="H69" s="16"/>
      <c r="I69" s="22"/>
      <c r="J69" s="23"/>
      <c r="K69" s="16"/>
      <c r="L69" s="24"/>
      <c r="M69" s="16"/>
      <c r="N69" s="24"/>
      <c r="O69" s="25" t="str">
        <f aca="false">IF(OR(E69="",F69=""),"",F69*IF(E69="Diária",Mult_Diaria,IF(E69="Semanal",Mult_Semanal,1)))</f>
        <v/>
      </c>
      <c r="P69" s="25" t="str">
        <f aca="false">IF(OR(O69="",G69="",H69=""),"",O69*G69/60*H69)</f>
        <v/>
      </c>
      <c r="Q69" s="26" t="str">
        <f aca="false">IF(I69&lt;&gt;"",I69,IF(Custo_Hora_Padrao&lt;&gt;"",Custo_Hora_Padrao,""))</f>
        <v/>
      </c>
      <c r="R69" s="27" t="str">
        <f aca="false">IF(OR(P69="",Q69=""),"",P69*Q69*12)</f>
        <v/>
      </c>
      <c r="S69" s="27" t="str">
        <f aca="false">IF(R69="","",R69*N(J69))</f>
        <v/>
      </c>
      <c r="T69" s="27" t="str">
        <f aca="false">IF(R69="","",N(K69)*N(L69)*12)</f>
        <v/>
      </c>
      <c r="U69" s="27" t="str">
        <f aca="false">IF(R69="","",(N(M69)*Q69*HE_Fator+N(N69))*12)</f>
        <v/>
      </c>
      <c r="V69" s="28" t="str">
        <f aca="false">IF(R69="","",R69+S69+T69+U69)</f>
        <v/>
      </c>
      <c r="W69" s="15" t="str">
        <f aca="false">IF(V69="","",IF(V69&lt;=Faixa_1,1,IF(V69&lt;=Faixa_2,2,IF(V69&lt;=Faixa_3,3,IF(V69&lt;=Faixa_4,4,5)))))</f>
        <v/>
      </c>
      <c r="X69" s="16"/>
      <c r="Y69" s="16"/>
      <c r="Z69" s="16"/>
      <c r="AA69" s="16"/>
      <c r="AB69" s="16"/>
      <c r="AC69" s="16"/>
      <c r="AD69" s="16"/>
      <c r="AE69" s="16"/>
      <c r="AF69" s="15" t="str">
        <f aca="false">IF(AB69&lt;&gt;"",AB69,IF('MEUS PROCESSOS'!N69="Alto",Sug_Alto,IF('MEUS PROCESSOS'!N69="Médio",Sug_Medio,IF('MEUS PROCESSOS'!N69="Baixo",Sug_Baixo,""))))</f>
        <v/>
      </c>
      <c r="AG69" s="15" t="str">
        <f aca="false">IF(AC69&lt;&gt;"",AC69,IF('MEUS PROCESSOS'!O69="Alto",Sug_Alto,IF('MEUS PROCESSOS'!O69="Médio",Sug_Medio,IF('MEUS PROCESSOS'!O69="Baixo",Sug_Baixo,""))))</f>
        <v/>
      </c>
      <c r="AH69" s="15" t="str">
        <f aca="false">IF(B69="","",IF(AND(AB69&lt;&gt;"",AC69&lt;&gt;""),"Avaliado pela empresa",IF(AND(AB69="",AC69="",'MEUS PROCESSOS'!N69&lt;&gt;""),"Sugestão da biblioteca",IF('MEUS PROCESSOS'!N69&lt;&gt;"","Parcialmente sugerido",IF(AND(AB69="",AC69=""),"","Avaliado pela empresa")))))</f>
        <v/>
      </c>
      <c r="AI69" s="18" t="str">
        <f aca="false">IF(B69="","",IF(AND((COUNTBLANK(X69:AA69)+COUNTBLANK(AD69:AE69)+(AF69="")*1+(AG69="")*1)=0,W69&lt;&gt;""),"Completo","Incompleto — faltam "&amp;IF((COUNTBLANK(X69:AA69)+COUNTBLANK(AD69:AE69)+(AF69="")*1+(AG69="")*1)&gt;0,(COUNTBLANK(X69:AA69)+COUNTBLANK(AD69:AE69)+(AF69="")*1+(AG69="")*1)&amp;IF((COUNTBLANK(X69:AA69)+COUNTBLANK(AD69:AE69)+(AF69="")*1+(AG69="")*1)=1," avaliação"," avaliações"),"")&amp;IF(AND((COUNTBLANK(X69:AA69)+COUNTBLANK(AD69:AE69)+(AF69="")*1+(AG69="")*1)&gt;0,W69=""), " e ","")&amp;IF(W69="","os dados de custo","")))</f>
        <v/>
      </c>
      <c r="AJ69" s="29" t="str">
        <f aca="false">IF($AI69&lt;&gt;"Completo","",W_Custo*(W69-1)/4+W_Imp*(X69-1)/4)</f>
        <v/>
      </c>
      <c r="AK69" s="29" t="str">
        <f aca="false">IF($AI69&lt;&gt;"Completo","",W_Pot*(MAX(AF69,AG69)-1)/4+W_Rep*(Y69-1)/4+W_Pad*(Z69-1)/4+W_Vol*(AA69-1)/4)</f>
        <v/>
      </c>
      <c r="AL69" s="29" t="str">
        <f aca="false">IF($AI69&lt;&gt;"Completo","",(1-F_Pen*(AE69-1)/4)*(1-F_Pen*(AD69-1)/4))</f>
        <v/>
      </c>
      <c r="AM69" s="29" t="str">
        <f aca="false">IF($AI69&lt;&gt;"Completo","",SQRT(AK69*AL69))</f>
        <v/>
      </c>
      <c r="AN69" s="30" t="str">
        <f aca="false">IF($AI69&lt;&gt;"Completo","",100*AJ69^Exp_V*AM69^Exp_Vb)</f>
        <v/>
      </c>
      <c r="AO69" s="15" t="str">
        <f aca="false">IF(AN69="","",IF(AJ69&gt;=Corte,IF(AM69&gt;=Corte,"Fazer primeiro","Projeto estratégico"),IF(AM69&gt;=Corte,"Quick win","Evitar")))</f>
        <v/>
      </c>
      <c r="AP69" s="15" t="str">
        <f aca="false">IF(AN69="","",IF(OR(AD69&gt;=Trava_Nota,AE69&gt;=Trava_Nota),"SIM","—"))</f>
        <v/>
      </c>
      <c r="AQ69" s="15" t="str">
        <f aca="false">IF(AN69="","",IF(MAX(AF69,AG69)&lt;=Rota_Nota,"SIM","—"))</f>
        <v/>
      </c>
      <c r="AR69" s="15" t="str">
        <f aca="false">IF(AN69="","",IF(Z69&lt;=Rota_Nota,"SIM","—"))</f>
        <v/>
      </c>
      <c r="AS69" s="15" t="str">
        <f aca="false">IF(AN69="","",IF(AP69="SIM",IF(AJ69&gt;=Corte,"Projeto estratégico","Evitar"),AO69))</f>
        <v/>
      </c>
      <c r="AT69" s="15" t="str">
        <f aca="false">IF(AN69="","",IF(OR(AND(AJ69&gt;=Fr_Min,AJ69&lt;=Fr_Max),AND(AM69&gt;=Fr_Min,AM69&lt;=Fr_Max)),"Revisar",""))</f>
        <v/>
      </c>
      <c r="AU69" s="15" t="str">
        <f aca="false">IF(BE69="","",COUNTIF($BE$6:$BE$105,"&gt;"&amp;BE69)+1)</f>
        <v/>
      </c>
      <c r="AV69" s="16"/>
      <c r="AW69" s="15" t="str">
        <f aca="false">IF(B69="","",IF(AV69&lt;&gt;"",AV69,'MEUS PROCESSOS'!M69))</f>
        <v/>
      </c>
      <c r="AX69" s="23"/>
      <c r="AY69" s="31" t="str">
        <f aca="false">IF(AW69="","",IF(AX69&lt;&gt;"",AX69,IF(AW69="S",Red_S,IF(AW69="P",Red_P,IF(AW69="A",Red_A,IF(AW69="IA",Red_IA,""))))))</f>
        <v/>
      </c>
      <c r="AZ69" s="27" t="str">
        <f aca="false">IF(OR(V69="",AY69=""),"",(T69+U69)*AY69)</f>
        <v/>
      </c>
      <c r="BA69" s="27" t="str">
        <f aca="false">IF(OR(V69="",AY69=""),"",(R69+S69)*AY69)</f>
        <v/>
      </c>
      <c r="BB69" s="27" t="str">
        <f aca="false">IF(AZ69="","",AZ69+BA69)</f>
        <v/>
      </c>
      <c r="BC69" s="27" t="str">
        <f aca="false">IF(OR(P69="",AY69=""),"",(P69*(1+N(J69))+N(M69))*12*AY69)</f>
        <v/>
      </c>
      <c r="BD69" s="18" t="str">
        <f aca="false">IF(B69="","",IF(AND(AW69="E",AX69=""),"Eliminar: informe quanto do esforço atual deixa de existir (0% a 100%). Não há percentual inicial sugerido.",IF(AND(AX69="",AY69&lt;&gt;""),"Redução pela faixa inicial para simulação","")))</f>
        <v/>
      </c>
      <c r="BE69" s="19" t="str">
        <f aca="false">IF(AND(AN69&lt;&gt;"",D69=1),AN69+(1000-A69)/1000000,"")</f>
        <v/>
      </c>
    </row>
    <row r="70" customFormat="false" ht="15" hidden="false" customHeight="false" outlineLevel="0" collapsed="false">
      <c r="A70" s="15" t="n">
        <v>65</v>
      </c>
      <c r="B70" s="18" t="str">
        <f aca="false">IF('MEUS PROCESSOS'!J70="","",'MEUS PROCESSOS'!J70)</f>
        <v/>
      </c>
      <c r="C70" s="15" t="str">
        <f aca="false">IF('MEUS PROCESSOS'!K70="","",'MEUS PROCESSOS'!K70)</f>
        <v/>
      </c>
      <c r="D70" s="19" t="n">
        <f aca="false">'MEUS PROCESSOS'!Q70</f>
        <v>0</v>
      </c>
      <c r="E70" s="16"/>
      <c r="F70" s="16"/>
      <c r="G70" s="16"/>
      <c r="H70" s="16"/>
      <c r="I70" s="22"/>
      <c r="J70" s="23"/>
      <c r="K70" s="16"/>
      <c r="L70" s="24"/>
      <c r="M70" s="16"/>
      <c r="N70" s="24"/>
      <c r="O70" s="25" t="str">
        <f aca="false">IF(OR(E70="",F70=""),"",F70*IF(E70="Diária",Mult_Diaria,IF(E70="Semanal",Mult_Semanal,1)))</f>
        <v/>
      </c>
      <c r="P70" s="25" t="str">
        <f aca="false">IF(OR(O70="",G70="",H70=""),"",O70*G70/60*H70)</f>
        <v/>
      </c>
      <c r="Q70" s="26" t="str">
        <f aca="false">IF(I70&lt;&gt;"",I70,IF(Custo_Hora_Padrao&lt;&gt;"",Custo_Hora_Padrao,""))</f>
        <v/>
      </c>
      <c r="R70" s="27" t="str">
        <f aca="false">IF(OR(P70="",Q70=""),"",P70*Q70*12)</f>
        <v/>
      </c>
      <c r="S70" s="27" t="str">
        <f aca="false">IF(R70="","",R70*N(J70))</f>
        <v/>
      </c>
      <c r="T70" s="27" t="str">
        <f aca="false">IF(R70="","",N(K70)*N(L70)*12)</f>
        <v/>
      </c>
      <c r="U70" s="27" t="str">
        <f aca="false">IF(R70="","",(N(M70)*Q70*HE_Fator+N(N70))*12)</f>
        <v/>
      </c>
      <c r="V70" s="28" t="str">
        <f aca="false">IF(R70="","",R70+S70+T70+U70)</f>
        <v/>
      </c>
      <c r="W70" s="15" t="str">
        <f aca="false">IF(V70="","",IF(V70&lt;=Faixa_1,1,IF(V70&lt;=Faixa_2,2,IF(V70&lt;=Faixa_3,3,IF(V70&lt;=Faixa_4,4,5)))))</f>
        <v/>
      </c>
      <c r="X70" s="16"/>
      <c r="Y70" s="16"/>
      <c r="Z70" s="16"/>
      <c r="AA70" s="16"/>
      <c r="AB70" s="16"/>
      <c r="AC70" s="16"/>
      <c r="AD70" s="16"/>
      <c r="AE70" s="16"/>
      <c r="AF70" s="15" t="str">
        <f aca="false">IF(AB70&lt;&gt;"",AB70,IF('MEUS PROCESSOS'!N70="Alto",Sug_Alto,IF('MEUS PROCESSOS'!N70="Médio",Sug_Medio,IF('MEUS PROCESSOS'!N70="Baixo",Sug_Baixo,""))))</f>
        <v/>
      </c>
      <c r="AG70" s="15" t="str">
        <f aca="false">IF(AC70&lt;&gt;"",AC70,IF('MEUS PROCESSOS'!O70="Alto",Sug_Alto,IF('MEUS PROCESSOS'!O70="Médio",Sug_Medio,IF('MEUS PROCESSOS'!O70="Baixo",Sug_Baixo,""))))</f>
        <v/>
      </c>
      <c r="AH70" s="15" t="str">
        <f aca="false">IF(B70="","",IF(AND(AB70&lt;&gt;"",AC70&lt;&gt;""),"Avaliado pela empresa",IF(AND(AB70="",AC70="",'MEUS PROCESSOS'!N70&lt;&gt;""),"Sugestão da biblioteca",IF('MEUS PROCESSOS'!N70&lt;&gt;"","Parcialmente sugerido",IF(AND(AB70="",AC70=""),"","Avaliado pela empresa")))))</f>
        <v/>
      </c>
      <c r="AI70" s="18" t="str">
        <f aca="false">IF(B70="","",IF(AND((COUNTBLANK(X70:AA70)+COUNTBLANK(AD70:AE70)+(AF70="")*1+(AG70="")*1)=0,W70&lt;&gt;""),"Completo","Incompleto — faltam "&amp;IF((COUNTBLANK(X70:AA70)+COUNTBLANK(AD70:AE70)+(AF70="")*1+(AG70="")*1)&gt;0,(COUNTBLANK(X70:AA70)+COUNTBLANK(AD70:AE70)+(AF70="")*1+(AG70="")*1)&amp;IF((COUNTBLANK(X70:AA70)+COUNTBLANK(AD70:AE70)+(AF70="")*1+(AG70="")*1)=1," avaliação"," avaliações"),"")&amp;IF(AND((COUNTBLANK(X70:AA70)+COUNTBLANK(AD70:AE70)+(AF70="")*1+(AG70="")*1)&gt;0,W70=""), " e ","")&amp;IF(W70="","os dados de custo","")))</f>
        <v/>
      </c>
      <c r="AJ70" s="29" t="str">
        <f aca="false">IF($AI70&lt;&gt;"Completo","",W_Custo*(W70-1)/4+W_Imp*(X70-1)/4)</f>
        <v/>
      </c>
      <c r="AK70" s="29" t="str">
        <f aca="false">IF($AI70&lt;&gt;"Completo","",W_Pot*(MAX(AF70,AG70)-1)/4+W_Rep*(Y70-1)/4+W_Pad*(Z70-1)/4+W_Vol*(AA70-1)/4)</f>
        <v/>
      </c>
      <c r="AL70" s="29" t="str">
        <f aca="false">IF($AI70&lt;&gt;"Completo","",(1-F_Pen*(AE70-1)/4)*(1-F_Pen*(AD70-1)/4))</f>
        <v/>
      </c>
      <c r="AM70" s="29" t="str">
        <f aca="false">IF($AI70&lt;&gt;"Completo","",SQRT(AK70*AL70))</f>
        <v/>
      </c>
      <c r="AN70" s="30" t="str">
        <f aca="false">IF($AI70&lt;&gt;"Completo","",100*AJ70^Exp_V*AM70^Exp_Vb)</f>
        <v/>
      </c>
      <c r="AO70" s="15" t="str">
        <f aca="false">IF(AN70="","",IF(AJ70&gt;=Corte,IF(AM70&gt;=Corte,"Fazer primeiro","Projeto estratégico"),IF(AM70&gt;=Corte,"Quick win","Evitar")))</f>
        <v/>
      </c>
      <c r="AP70" s="15" t="str">
        <f aca="false">IF(AN70="","",IF(OR(AD70&gt;=Trava_Nota,AE70&gt;=Trava_Nota),"SIM","—"))</f>
        <v/>
      </c>
      <c r="AQ70" s="15" t="str">
        <f aca="false">IF(AN70="","",IF(MAX(AF70,AG70)&lt;=Rota_Nota,"SIM","—"))</f>
        <v/>
      </c>
      <c r="AR70" s="15" t="str">
        <f aca="false">IF(AN70="","",IF(Z70&lt;=Rota_Nota,"SIM","—"))</f>
        <v/>
      </c>
      <c r="AS70" s="15" t="str">
        <f aca="false">IF(AN70="","",IF(AP70="SIM",IF(AJ70&gt;=Corte,"Projeto estratégico","Evitar"),AO70))</f>
        <v/>
      </c>
      <c r="AT70" s="15" t="str">
        <f aca="false">IF(AN70="","",IF(OR(AND(AJ70&gt;=Fr_Min,AJ70&lt;=Fr_Max),AND(AM70&gt;=Fr_Min,AM70&lt;=Fr_Max)),"Revisar",""))</f>
        <v/>
      </c>
      <c r="AU70" s="15" t="str">
        <f aca="false">IF(BE70="","",COUNTIF($BE$6:$BE$105,"&gt;"&amp;BE70)+1)</f>
        <v/>
      </c>
      <c r="AV70" s="16"/>
      <c r="AW70" s="15" t="str">
        <f aca="false">IF(B70="","",IF(AV70&lt;&gt;"",AV70,'MEUS PROCESSOS'!M70))</f>
        <v/>
      </c>
      <c r="AX70" s="23"/>
      <c r="AY70" s="31" t="str">
        <f aca="false">IF(AW70="","",IF(AX70&lt;&gt;"",AX70,IF(AW70="S",Red_S,IF(AW70="P",Red_P,IF(AW70="A",Red_A,IF(AW70="IA",Red_IA,""))))))</f>
        <v/>
      </c>
      <c r="AZ70" s="27" t="str">
        <f aca="false">IF(OR(V70="",AY70=""),"",(T70+U70)*AY70)</f>
        <v/>
      </c>
      <c r="BA70" s="27" t="str">
        <f aca="false">IF(OR(V70="",AY70=""),"",(R70+S70)*AY70)</f>
        <v/>
      </c>
      <c r="BB70" s="27" t="str">
        <f aca="false">IF(AZ70="","",AZ70+BA70)</f>
        <v/>
      </c>
      <c r="BC70" s="27" t="str">
        <f aca="false">IF(OR(P70="",AY70=""),"",(P70*(1+N(J70))+N(M70))*12*AY70)</f>
        <v/>
      </c>
      <c r="BD70" s="18" t="str">
        <f aca="false">IF(B70="","",IF(AND(AW70="E",AX70=""),"Eliminar: informe quanto do esforço atual deixa de existir (0% a 100%). Não há percentual inicial sugerido.",IF(AND(AX70="",AY70&lt;&gt;""),"Redução pela faixa inicial para simulação","")))</f>
        <v/>
      </c>
      <c r="BE70" s="19" t="str">
        <f aca="false">IF(AND(AN70&lt;&gt;"",D70=1),AN70+(1000-A70)/1000000,"")</f>
        <v/>
      </c>
    </row>
    <row r="71" customFormat="false" ht="15" hidden="false" customHeight="false" outlineLevel="0" collapsed="false">
      <c r="A71" s="15" t="n">
        <v>66</v>
      </c>
      <c r="B71" s="18" t="str">
        <f aca="false">IF('MEUS PROCESSOS'!J71="","",'MEUS PROCESSOS'!J71)</f>
        <v/>
      </c>
      <c r="C71" s="15" t="str">
        <f aca="false">IF('MEUS PROCESSOS'!K71="","",'MEUS PROCESSOS'!K71)</f>
        <v/>
      </c>
      <c r="D71" s="19" t="n">
        <f aca="false">'MEUS PROCESSOS'!Q71</f>
        <v>0</v>
      </c>
      <c r="E71" s="16"/>
      <c r="F71" s="16"/>
      <c r="G71" s="16"/>
      <c r="H71" s="16"/>
      <c r="I71" s="22"/>
      <c r="J71" s="23"/>
      <c r="K71" s="16"/>
      <c r="L71" s="24"/>
      <c r="M71" s="16"/>
      <c r="N71" s="24"/>
      <c r="O71" s="25" t="str">
        <f aca="false">IF(OR(E71="",F71=""),"",F71*IF(E71="Diária",Mult_Diaria,IF(E71="Semanal",Mult_Semanal,1)))</f>
        <v/>
      </c>
      <c r="P71" s="25" t="str">
        <f aca="false">IF(OR(O71="",G71="",H71=""),"",O71*G71/60*H71)</f>
        <v/>
      </c>
      <c r="Q71" s="26" t="str">
        <f aca="false">IF(I71&lt;&gt;"",I71,IF(Custo_Hora_Padrao&lt;&gt;"",Custo_Hora_Padrao,""))</f>
        <v/>
      </c>
      <c r="R71" s="27" t="str">
        <f aca="false">IF(OR(P71="",Q71=""),"",P71*Q71*12)</f>
        <v/>
      </c>
      <c r="S71" s="27" t="str">
        <f aca="false">IF(R71="","",R71*N(J71))</f>
        <v/>
      </c>
      <c r="T71" s="27" t="str">
        <f aca="false">IF(R71="","",N(K71)*N(L71)*12)</f>
        <v/>
      </c>
      <c r="U71" s="27" t="str">
        <f aca="false">IF(R71="","",(N(M71)*Q71*HE_Fator+N(N71))*12)</f>
        <v/>
      </c>
      <c r="V71" s="28" t="str">
        <f aca="false">IF(R71="","",R71+S71+T71+U71)</f>
        <v/>
      </c>
      <c r="W71" s="15" t="str">
        <f aca="false">IF(V71="","",IF(V71&lt;=Faixa_1,1,IF(V71&lt;=Faixa_2,2,IF(V71&lt;=Faixa_3,3,IF(V71&lt;=Faixa_4,4,5)))))</f>
        <v/>
      </c>
      <c r="X71" s="16"/>
      <c r="Y71" s="16"/>
      <c r="Z71" s="16"/>
      <c r="AA71" s="16"/>
      <c r="AB71" s="16"/>
      <c r="AC71" s="16"/>
      <c r="AD71" s="16"/>
      <c r="AE71" s="16"/>
      <c r="AF71" s="15" t="str">
        <f aca="false">IF(AB71&lt;&gt;"",AB71,IF('MEUS PROCESSOS'!N71="Alto",Sug_Alto,IF('MEUS PROCESSOS'!N71="Médio",Sug_Medio,IF('MEUS PROCESSOS'!N71="Baixo",Sug_Baixo,""))))</f>
        <v/>
      </c>
      <c r="AG71" s="15" t="str">
        <f aca="false">IF(AC71&lt;&gt;"",AC71,IF('MEUS PROCESSOS'!O71="Alto",Sug_Alto,IF('MEUS PROCESSOS'!O71="Médio",Sug_Medio,IF('MEUS PROCESSOS'!O71="Baixo",Sug_Baixo,""))))</f>
        <v/>
      </c>
      <c r="AH71" s="15" t="str">
        <f aca="false">IF(B71="","",IF(AND(AB71&lt;&gt;"",AC71&lt;&gt;""),"Avaliado pela empresa",IF(AND(AB71="",AC71="",'MEUS PROCESSOS'!N71&lt;&gt;""),"Sugestão da biblioteca",IF('MEUS PROCESSOS'!N71&lt;&gt;"","Parcialmente sugerido",IF(AND(AB71="",AC71=""),"","Avaliado pela empresa")))))</f>
        <v/>
      </c>
      <c r="AI71" s="18" t="str">
        <f aca="false">IF(B71="","",IF(AND((COUNTBLANK(X71:AA71)+COUNTBLANK(AD71:AE71)+(AF71="")*1+(AG71="")*1)=0,W71&lt;&gt;""),"Completo","Incompleto — faltam "&amp;IF((COUNTBLANK(X71:AA71)+COUNTBLANK(AD71:AE71)+(AF71="")*1+(AG71="")*1)&gt;0,(COUNTBLANK(X71:AA71)+COUNTBLANK(AD71:AE71)+(AF71="")*1+(AG71="")*1)&amp;IF((COUNTBLANK(X71:AA71)+COUNTBLANK(AD71:AE71)+(AF71="")*1+(AG71="")*1)=1," avaliação"," avaliações"),"")&amp;IF(AND((COUNTBLANK(X71:AA71)+COUNTBLANK(AD71:AE71)+(AF71="")*1+(AG71="")*1)&gt;0,W71=""), " e ","")&amp;IF(W71="","os dados de custo","")))</f>
        <v/>
      </c>
      <c r="AJ71" s="29" t="str">
        <f aca="false">IF($AI71&lt;&gt;"Completo","",W_Custo*(W71-1)/4+W_Imp*(X71-1)/4)</f>
        <v/>
      </c>
      <c r="AK71" s="29" t="str">
        <f aca="false">IF($AI71&lt;&gt;"Completo","",W_Pot*(MAX(AF71,AG71)-1)/4+W_Rep*(Y71-1)/4+W_Pad*(Z71-1)/4+W_Vol*(AA71-1)/4)</f>
        <v/>
      </c>
      <c r="AL71" s="29" t="str">
        <f aca="false">IF($AI71&lt;&gt;"Completo","",(1-F_Pen*(AE71-1)/4)*(1-F_Pen*(AD71-1)/4))</f>
        <v/>
      </c>
      <c r="AM71" s="29" t="str">
        <f aca="false">IF($AI71&lt;&gt;"Completo","",SQRT(AK71*AL71))</f>
        <v/>
      </c>
      <c r="AN71" s="30" t="str">
        <f aca="false">IF($AI71&lt;&gt;"Completo","",100*AJ71^Exp_V*AM71^Exp_Vb)</f>
        <v/>
      </c>
      <c r="AO71" s="15" t="str">
        <f aca="false">IF(AN71="","",IF(AJ71&gt;=Corte,IF(AM71&gt;=Corte,"Fazer primeiro","Projeto estratégico"),IF(AM71&gt;=Corte,"Quick win","Evitar")))</f>
        <v/>
      </c>
      <c r="AP71" s="15" t="str">
        <f aca="false">IF(AN71="","",IF(OR(AD71&gt;=Trava_Nota,AE71&gt;=Trava_Nota),"SIM","—"))</f>
        <v/>
      </c>
      <c r="AQ71" s="15" t="str">
        <f aca="false">IF(AN71="","",IF(MAX(AF71,AG71)&lt;=Rota_Nota,"SIM","—"))</f>
        <v/>
      </c>
      <c r="AR71" s="15" t="str">
        <f aca="false">IF(AN71="","",IF(Z71&lt;=Rota_Nota,"SIM","—"))</f>
        <v/>
      </c>
      <c r="AS71" s="15" t="str">
        <f aca="false">IF(AN71="","",IF(AP71="SIM",IF(AJ71&gt;=Corte,"Projeto estratégico","Evitar"),AO71))</f>
        <v/>
      </c>
      <c r="AT71" s="15" t="str">
        <f aca="false">IF(AN71="","",IF(OR(AND(AJ71&gt;=Fr_Min,AJ71&lt;=Fr_Max),AND(AM71&gt;=Fr_Min,AM71&lt;=Fr_Max)),"Revisar",""))</f>
        <v/>
      </c>
      <c r="AU71" s="15" t="str">
        <f aca="false">IF(BE71="","",COUNTIF($BE$6:$BE$105,"&gt;"&amp;BE71)+1)</f>
        <v/>
      </c>
      <c r="AV71" s="16"/>
      <c r="AW71" s="15" t="str">
        <f aca="false">IF(B71="","",IF(AV71&lt;&gt;"",AV71,'MEUS PROCESSOS'!M71))</f>
        <v/>
      </c>
      <c r="AX71" s="23"/>
      <c r="AY71" s="31" t="str">
        <f aca="false">IF(AW71="","",IF(AX71&lt;&gt;"",AX71,IF(AW71="S",Red_S,IF(AW71="P",Red_P,IF(AW71="A",Red_A,IF(AW71="IA",Red_IA,""))))))</f>
        <v/>
      </c>
      <c r="AZ71" s="27" t="str">
        <f aca="false">IF(OR(V71="",AY71=""),"",(T71+U71)*AY71)</f>
        <v/>
      </c>
      <c r="BA71" s="27" t="str">
        <f aca="false">IF(OR(V71="",AY71=""),"",(R71+S71)*AY71)</f>
        <v/>
      </c>
      <c r="BB71" s="27" t="str">
        <f aca="false">IF(AZ71="","",AZ71+BA71)</f>
        <v/>
      </c>
      <c r="BC71" s="27" t="str">
        <f aca="false">IF(OR(P71="",AY71=""),"",(P71*(1+N(J71))+N(M71))*12*AY71)</f>
        <v/>
      </c>
      <c r="BD71" s="18" t="str">
        <f aca="false">IF(B71="","",IF(AND(AW71="E",AX71=""),"Eliminar: informe quanto do esforço atual deixa de existir (0% a 100%). Não há percentual inicial sugerido.",IF(AND(AX71="",AY71&lt;&gt;""),"Redução pela faixa inicial para simulação","")))</f>
        <v/>
      </c>
      <c r="BE71" s="19" t="str">
        <f aca="false">IF(AND(AN71&lt;&gt;"",D71=1),AN71+(1000-A71)/1000000,"")</f>
        <v/>
      </c>
    </row>
    <row r="72" customFormat="false" ht="15" hidden="false" customHeight="false" outlineLevel="0" collapsed="false">
      <c r="A72" s="15" t="n">
        <v>67</v>
      </c>
      <c r="B72" s="18" t="str">
        <f aca="false">IF('MEUS PROCESSOS'!J72="","",'MEUS PROCESSOS'!J72)</f>
        <v/>
      </c>
      <c r="C72" s="15" t="str">
        <f aca="false">IF('MEUS PROCESSOS'!K72="","",'MEUS PROCESSOS'!K72)</f>
        <v/>
      </c>
      <c r="D72" s="19" t="n">
        <f aca="false">'MEUS PROCESSOS'!Q72</f>
        <v>0</v>
      </c>
      <c r="E72" s="16"/>
      <c r="F72" s="16"/>
      <c r="G72" s="16"/>
      <c r="H72" s="16"/>
      <c r="I72" s="22"/>
      <c r="J72" s="23"/>
      <c r="K72" s="16"/>
      <c r="L72" s="24"/>
      <c r="M72" s="16"/>
      <c r="N72" s="24"/>
      <c r="O72" s="25" t="str">
        <f aca="false">IF(OR(E72="",F72=""),"",F72*IF(E72="Diária",Mult_Diaria,IF(E72="Semanal",Mult_Semanal,1)))</f>
        <v/>
      </c>
      <c r="P72" s="25" t="str">
        <f aca="false">IF(OR(O72="",G72="",H72=""),"",O72*G72/60*H72)</f>
        <v/>
      </c>
      <c r="Q72" s="26" t="str">
        <f aca="false">IF(I72&lt;&gt;"",I72,IF(Custo_Hora_Padrao&lt;&gt;"",Custo_Hora_Padrao,""))</f>
        <v/>
      </c>
      <c r="R72" s="27" t="str">
        <f aca="false">IF(OR(P72="",Q72=""),"",P72*Q72*12)</f>
        <v/>
      </c>
      <c r="S72" s="27" t="str">
        <f aca="false">IF(R72="","",R72*N(J72))</f>
        <v/>
      </c>
      <c r="T72" s="27" t="str">
        <f aca="false">IF(R72="","",N(K72)*N(L72)*12)</f>
        <v/>
      </c>
      <c r="U72" s="27" t="str">
        <f aca="false">IF(R72="","",(N(M72)*Q72*HE_Fator+N(N72))*12)</f>
        <v/>
      </c>
      <c r="V72" s="28" t="str">
        <f aca="false">IF(R72="","",R72+S72+T72+U72)</f>
        <v/>
      </c>
      <c r="W72" s="15" t="str">
        <f aca="false">IF(V72="","",IF(V72&lt;=Faixa_1,1,IF(V72&lt;=Faixa_2,2,IF(V72&lt;=Faixa_3,3,IF(V72&lt;=Faixa_4,4,5)))))</f>
        <v/>
      </c>
      <c r="X72" s="16"/>
      <c r="Y72" s="16"/>
      <c r="Z72" s="16"/>
      <c r="AA72" s="16"/>
      <c r="AB72" s="16"/>
      <c r="AC72" s="16"/>
      <c r="AD72" s="16"/>
      <c r="AE72" s="16"/>
      <c r="AF72" s="15" t="str">
        <f aca="false">IF(AB72&lt;&gt;"",AB72,IF('MEUS PROCESSOS'!N72="Alto",Sug_Alto,IF('MEUS PROCESSOS'!N72="Médio",Sug_Medio,IF('MEUS PROCESSOS'!N72="Baixo",Sug_Baixo,""))))</f>
        <v/>
      </c>
      <c r="AG72" s="15" t="str">
        <f aca="false">IF(AC72&lt;&gt;"",AC72,IF('MEUS PROCESSOS'!O72="Alto",Sug_Alto,IF('MEUS PROCESSOS'!O72="Médio",Sug_Medio,IF('MEUS PROCESSOS'!O72="Baixo",Sug_Baixo,""))))</f>
        <v/>
      </c>
      <c r="AH72" s="15" t="str">
        <f aca="false">IF(B72="","",IF(AND(AB72&lt;&gt;"",AC72&lt;&gt;""),"Avaliado pela empresa",IF(AND(AB72="",AC72="",'MEUS PROCESSOS'!N72&lt;&gt;""),"Sugestão da biblioteca",IF('MEUS PROCESSOS'!N72&lt;&gt;"","Parcialmente sugerido",IF(AND(AB72="",AC72=""),"","Avaliado pela empresa")))))</f>
        <v/>
      </c>
      <c r="AI72" s="18" t="str">
        <f aca="false">IF(B72="","",IF(AND((COUNTBLANK(X72:AA72)+COUNTBLANK(AD72:AE72)+(AF72="")*1+(AG72="")*1)=0,W72&lt;&gt;""),"Completo","Incompleto — faltam "&amp;IF((COUNTBLANK(X72:AA72)+COUNTBLANK(AD72:AE72)+(AF72="")*1+(AG72="")*1)&gt;0,(COUNTBLANK(X72:AA72)+COUNTBLANK(AD72:AE72)+(AF72="")*1+(AG72="")*1)&amp;IF((COUNTBLANK(X72:AA72)+COUNTBLANK(AD72:AE72)+(AF72="")*1+(AG72="")*1)=1," avaliação"," avaliações"),"")&amp;IF(AND((COUNTBLANK(X72:AA72)+COUNTBLANK(AD72:AE72)+(AF72="")*1+(AG72="")*1)&gt;0,W72=""), " e ","")&amp;IF(W72="","os dados de custo","")))</f>
        <v/>
      </c>
      <c r="AJ72" s="29" t="str">
        <f aca="false">IF($AI72&lt;&gt;"Completo","",W_Custo*(W72-1)/4+W_Imp*(X72-1)/4)</f>
        <v/>
      </c>
      <c r="AK72" s="29" t="str">
        <f aca="false">IF($AI72&lt;&gt;"Completo","",W_Pot*(MAX(AF72,AG72)-1)/4+W_Rep*(Y72-1)/4+W_Pad*(Z72-1)/4+W_Vol*(AA72-1)/4)</f>
        <v/>
      </c>
      <c r="AL72" s="29" t="str">
        <f aca="false">IF($AI72&lt;&gt;"Completo","",(1-F_Pen*(AE72-1)/4)*(1-F_Pen*(AD72-1)/4))</f>
        <v/>
      </c>
      <c r="AM72" s="29" t="str">
        <f aca="false">IF($AI72&lt;&gt;"Completo","",SQRT(AK72*AL72))</f>
        <v/>
      </c>
      <c r="AN72" s="30" t="str">
        <f aca="false">IF($AI72&lt;&gt;"Completo","",100*AJ72^Exp_V*AM72^Exp_Vb)</f>
        <v/>
      </c>
      <c r="AO72" s="15" t="str">
        <f aca="false">IF(AN72="","",IF(AJ72&gt;=Corte,IF(AM72&gt;=Corte,"Fazer primeiro","Projeto estratégico"),IF(AM72&gt;=Corte,"Quick win","Evitar")))</f>
        <v/>
      </c>
      <c r="AP72" s="15" t="str">
        <f aca="false">IF(AN72="","",IF(OR(AD72&gt;=Trava_Nota,AE72&gt;=Trava_Nota),"SIM","—"))</f>
        <v/>
      </c>
      <c r="AQ72" s="15" t="str">
        <f aca="false">IF(AN72="","",IF(MAX(AF72,AG72)&lt;=Rota_Nota,"SIM","—"))</f>
        <v/>
      </c>
      <c r="AR72" s="15" t="str">
        <f aca="false">IF(AN72="","",IF(Z72&lt;=Rota_Nota,"SIM","—"))</f>
        <v/>
      </c>
      <c r="AS72" s="15" t="str">
        <f aca="false">IF(AN72="","",IF(AP72="SIM",IF(AJ72&gt;=Corte,"Projeto estratégico","Evitar"),AO72))</f>
        <v/>
      </c>
      <c r="AT72" s="15" t="str">
        <f aca="false">IF(AN72="","",IF(OR(AND(AJ72&gt;=Fr_Min,AJ72&lt;=Fr_Max),AND(AM72&gt;=Fr_Min,AM72&lt;=Fr_Max)),"Revisar",""))</f>
        <v/>
      </c>
      <c r="AU72" s="15" t="str">
        <f aca="false">IF(BE72="","",COUNTIF($BE$6:$BE$105,"&gt;"&amp;BE72)+1)</f>
        <v/>
      </c>
      <c r="AV72" s="16"/>
      <c r="AW72" s="15" t="str">
        <f aca="false">IF(B72="","",IF(AV72&lt;&gt;"",AV72,'MEUS PROCESSOS'!M72))</f>
        <v/>
      </c>
      <c r="AX72" s="23"/>
      <c r="AY72" s="31" t="str">
        <f aca="false">IF(AW72="","",IF(AX72&lt;&gt;"",AX72,IF(AW72="S",Red_S,IF(AW72="P",Red_P,IF(AW72="A",Red_A,IF(AW72="IA",Red_IA,""))))))</f>
        <v/>
      </c>
      <c r="AZ72" s="27" t="str">
        <f aca="false">IF(OR(V72="",AY72=""),"",(T72+U72)*AY72)</f>
        <v/>
      </c>
      <c r="BA72" s="27" t="str">
        <f aca="false">IF(OR(V72="",AY72=""),"",(R72+S72)*AY72)</f>
        <v/>
      </c>
      <c r="BB72" s="27" t="str">
        <f aca="false">IF(AZ72="","",AZ72+BA72)</f>
        <v/>
      </c>
      <c r="BC72" s="27" t="str">
        <f aca="false">IF(OR(P72="",AY72=""),"",(P72*(1+N(J72))+N(M72))*12*AY72)</f>
        <v/>
      </c>
      <c r="BD72" s="18" t="str">
        <f aca="false">IF(B72="","",IF(AND(AW72="E",AX72=""),"Eliminar: informe quanto do esforço atual deixa de existir (0% a 100%). Não há percentual inicial sugerido.",IF(AND(AX72="",AY72&lt;&gt;""),"Redução pela faixa inicial para simulação","")))</f>
        <v/>
      </c>
      <c r="BE72" s="19" t="str">
        <f aca="false">IF(AND(AN72&lt;&gt;"",D72=1),AN72+(1000-A72)/1000000,"")</f>
        <v/>
      </c>
    </row>
    <row r="73" customFormat="false" ht="15" hidden="false" customHeight="false" outlineLevel="0" collapsed="false">
      <c r="A73" s="15" t="n">
        <v>68</v>
      </c>
      <c r="B73" s="18" t="str">
        <f aca="false">IF('MEUS PROCESSOS'!J73="","",'MEUS PROCESSOS'!J73)</f>
        <v/>
      </c>
      <c r="C73" s="15" t="str">
        <f aca="false">IF('MEUS PROCESSOS'!K73="","",'MEUS PROCESSOS'!K73)</f>
        <v/>
      </c>
      <c r="D73" s="19" t="n">
        <f aca="false">'MEUS PROCESSOS'!Q73</f>
        <v>0</v>
      </c>
      <c r="E73" s="16"/>
      <c r="F73" s="16"/>
      <c r="G73" s="16"/>
      <c r="H73" s="16"/>
      <c r="I73" s="22"/>
      <c r="J73" s="23"/>
      <c r="K73" s="16"/>
      <c r="L73" s="24"/>
      <c r="M73" s="16"/>
      <c r="N73" s="24"/>
      <c r="O73" s="25" t="str">
        <f aca="false">IF(OR(E73="",F73=""),"",F73*IF(E73="Diária",Mult_Diaria,IF(E73="Semanal",Mult_Semanal,1)))</f>
        <v/>
      </c>
      <c r="P73" s="25" t="str">
        <f aca="false">IF(OR(O73="",G73="",H73=""),"",O73*G73/60*H73)</f>
        <v/>
      </c>
      <c r="Q73" s="26" t="str">
        <f aca="false">IF(I73&lt;&gt;"",I73,IF(Custo_Hora_Padrao&lt;&gt;"",Custo_Hora_Padrao,""))</f>
        <v/>
      </c>
      <c r="R73" s="27" t="str">
        <f aca="false">IF(OR(P73="",Q73=""),"",P73*Q73*12)</f>
        <v/>
      </c>
      <c r="S73" s="27" t="str">
        <f aca="false">IF(R73="","",R73*N(J73))</f>
        <v/>
      </c>
      <c r="T73" s="27" t="str">
        <f aca="false">IF(R73="","",N(K73)*N(L73)*12)</f>
        <v/>
      </c>
      <c r="U73" s="27" t="str">
        <f aca="false">IF(R73="","",(N(M73)*Q73*HE_Fator+N(N73))*12)</f>
        <v/>
      </c>
      <c r="V73" s="28" t="str">
        <f aca="false">IF(R73="","",R73+S73+T73+U73)</f>
        <v/>
      </c>
      <c r="W73" s="15" t="str">
        <f aca="false">IF(V73="","",IF(V73&lt;=Faixa_1,1,IF(V73&lt;=Faixa_2,2,IF(V73&lt;=Faixa_3,3,IF(V73&lt;=Faixa_4,4,5)))))</f>
        <v/>
      </c>
      <c r="X73" s="16"/>
      <c r="Y73" s="16"/>
      <c r="Z73" s="16"/>
      <c r="AA73" s="16"/>
      <c r="AB73" s="16"/>
      <c r="AC73" s="16"/>
      <c r="AD73" s="16"/>
      <c r="AE73" s="16"/>
      <c r="AF73" s="15" t="str">
        <f aca="false">IF(AB73&lt;&gt;"",AB73,IF('MEUS PROCESSOS'!N73="Alto",Sug_Alto,IF('MEUS PROCESSOS'!N73="Médio",Sug_Medio,IF('MEUS PROCESSOS'!N73="Baixo",Sug_Baixo,""))))</f>
        <v/>
      </c>
      <c r="AG73" s="15" t="str">
        <f aca="false">IF(AC73&lt;&gt;"",AC73,IF('MEUS PROCESSOS'!O73="Alto",Sug_Alto,IF('MEUS PROCESSOS'!O73="Médio",Sug_Medio,IF('MEUS PROCESSOS'!O73="Baixo",Sug_Baixo,""))))</f>
        <v/>
      </c>
      <c r="AH73" s="15" t="str">
        <f aca="false">IF(B73="","",IF(AND(AB73&lt;&gt;"",AC73&lt;&gt;""),"Avaliado pela empresa",IF(AND(AB73="",AC73="",'MEUS PROCESSOS'!N73&lt;&gt;""),"Sugestão da biblioteca",IF('MEUS PROCESSOS'!N73&lt;&gt;"","Parcialmente sugerido",IF(AND(AB73="",AC73=""),"","Avaliado pela empresa")))))</f>
        <v/>
      </c>
      <c r="AI73" s="18" t="str">
        <f aca="false">IF(B73="","",IF(AND((COUNTBLANK(X73:AA73)+COUNTBLANK(AD73:AE73)+(AF73="")*1+(AG73="")*1)=0,W73&lt;&gt;""),"Completo","Incompleto — faltam "&amp;IF((COUNTBLANK(X73:AA73)+COUNTBLANK(AD73:AE73)+(AF73="")*1+(AG73="")*1)&gt;0,(COUNTBLANK(X73:AA73)+COUNTBLANK(AD73:AE73)+(AF73="")*1+(AG73="")*1)&amp;IF((COUNTBLANK(X73:AA73)+COUNTBLANK(AD73:AE73)+(AF73="")*1+(AG73="")*1)=1," avaliação"," avaliações"),"")&amp;IF(AND((COUNTBLANK(X73:AA73)+COUNTBLANK(AD73:AE73)+(AF73="")*1+(AG73="")*1)&gt;0,W73=""), " e ","")&amp;IF(W73="","os dados de custo","")))</f>
        <v/>
      </c>
      <c r="AJ73" s="29" t="str">
        <f aca="false">IF($AI73&lt;&gt;"Completo","",W_Custo*(W73-1)/4+W_Imp*(X73-1)/4)</f>
        <v/>
      </c>
      <c r="AK73" s="29" t="str">
        <f aca="false">IF($AI73&lt;&gt;"Completo","",W_Pot*(MAX(AF73,AG73)-1)/4+W_Rep*(Y73-1)/4+W_Pad*(Z73-1)/4+W_Vol*(AA73-1)/4)</f>
        <v/>
      </c>
      <c r="AL73" s="29" t="str">
        <f aca="false">IF($AI73&lt;&gt;"Completo","",(1-F_Pen*(AE73-1)/4)*(1-F_Pen*(AD73-1)/4))</f>
        <v/>
      </c>
      <c r="AM73" s="29" t="str">
        <f aca="false">IF($AI73&lt;&gt;"Completo","",SQRT(AK73*AL73))</f>
        <v/>
      </c>
      <c r="AN73" s="30" t="str">
        <f aca="false">IF($AI73&lt;&gt;"Completo","",100*AJ73^Exp_V*AM73^Exp_Vb)</f>
        <v/>
      </c>
      <c r="AO73" s="15" t="str">
        <f aca="false">IF(AN73="","",IF(AJ73&gt;=Corte,IF(AM73&gt;=Corte,"Fazer primeiro","Projeto estratégico"),IF(AM73&gt;=Corte,"Quick win","Evitar")))</f>
        <v/>
      </c>
      <c r="AP73" s="15" t="str">
        <f aca="false">IF(AN73="","",IF(OR(AD73&gt;=Trava_Nota,AE73&gt;=Trava_Nota),"SIM","—"))</f>
        <v/>
      </c>
      <c r="AQ73" s="15" t="str">
        <f aca="false">IF(AN73="","",IF(MAX(AF73,AG73)&lt;=Rota_Nota,"SIM","—"))</f>
        <v/>
      </c>
      <c r="AR73" s="15" t="str">
        <f aca="false">IF(AN73="","",IF(Z73&lt;=Rota_Nota,"SIM","—"))</f>
        <v/>
      </c>
      <c r="AS73" s="15" t="str">
        <f aca="false">IF(AN73="","",IF(AP73="SIM",IF(AJ73&gt;=Corte,"Projeto estratégico","Evitar"),AO73))</f>
        <v/>
      </c>
      <c r="AT73" s="15" t="str">
        <f aca="false">IF(AN73="","",IF(OR(AND(AJ73&gt;=Fr_Min,AJ73&lt;=Fr_Max),AND(AM73&gt;=Fr_Min,AM73&lt;=Fr_Max)),"Revisar",""))</f>
        <v/>
      </c>
      <c r="AU73" s="15" t="str">
        <f aca="false">IF(BE73="","",COUNTIF($BE$6:$BE$105,"&gt;"&amp;BE73)+1)</f>
        <v/>
      </c>
      <c r="AV73" s="16"/>
      <c r="AW73" s="15" t="str">
        <f aca="false">IF(B73="","",IF(AV73&lt;&gt;"",AV73,'MEUS PROCESSOS'!M73))</f>
        <v/>
      </c>
      <c r="AX73" s="23"/>
      <c r="AY73" s="31" t="str">
        <f aca="false">IF(AW73="","",IF(AX73&lt;&gt;"",AX73,IF(AW73="S",Red_S,IF(AW73="P",Red_P,IF(AW73="A",Red_A,IF(AW73="IA",Red_IA,""))))))</f>
        <v/>
      </c>
      <c r="AZ73" s="27" t="str">
        <f aca="false">IF(OR(V73="",AY73=""),"",(T73+U73)*AY73)</f>
        <v/>
      </c>
      <c r="BA73" s="27" t="str">
        <f aca="false">IF(OR(V73="",AY73=""),"",(R73+S73)*AY73)</f>
        <v/>
      </c>
      <c r="BB73" s="27" t="str">
        <f aca="false">IF(AZ73="","",AZ73+BA73)</f>
        <v/>
      </c>
      <c r="BC73" s="27" t="str">
        <f aca="false">IF(OR(P73="",AY73=""),"",(P73*(1+N(J73))+N(M73))*12*AY73)</f>
        <v/>
      </c>
      <c r="BD73" s="18" t="str">
        <f aca="false">IF(B73="","",IF(AND(AW73="E",AX73=""),"Eliminar: informe quanto do esforço atual deixa de existir (0% a 100%). Não há percentual inicial sugerido.",IF(AND(AX73="",AY73&lt;&gt;""),"Redução pela faixa inicial para simulação","")))</f>
        <v/>
      </c>
      <c r="BE73" s="19" t="str">
        <f aca="false">IF(AND(AN73&lt;&gt;"",D73=1),AN73+(1000-A73)/1000000,"")</f>
        <v/>
      </c>
    </row>
    <row r="74" customFormat="false" ht="15" hidden="false" customHeight="false" outlineLevel="0" collapsed="false">
      <c r="A74" s="15" t="n">
        <v>69</v>
      </c>
      <c r="B74" s="18" t="str">
        <f aca="false">IF('MEUS PROCESSOS'!J74="","",'MEUS PROCESSOS'!J74)</f>
        <v/>
      </c>
      <c r="C74" s="15" t="str">
        <f aca="false">IF('MEUS PROCESSOS'!K74="","",'MEUS PROCESSOS'!K74)</f>
        <v/>
      </c>
      <c r="D74" s="19" t="n">
        <f aca="false">'MEUS PROCESSOS'!Q74</f>
        <v>0</v>
      </c>
      <c r="E74" s="16"/>
      <c r="F74" s="16"/>
      <c r="G74" s="16"/>
      <c r="H74" s="16"/>
      <c r="I74" s="22"/>
      <c r="J74" s="23"/>
      <c r="K74" s="16"/>
      <c r="L74" s="24"/>
      <c r="M74" s="16"/>
      <c r="N74" s="24"/>
      <c r="O74" s="25" t="str">
        <f aca="false">IF(OR(E74="",F74=""),"",F74*IF(E74="Diária",Mult_Diaria,IF(E74="Semanal",Mult_Semanal,1)))</f>
        <v/>
      </c>
      <c r="P74" s="25" t="str">
        <f aca="false">IF(OR(O74="",G74="",H74=""),"",O74*G74/60*H74)</f>
        <v/>
      </c>
      <c r="Q74" s="26" t="str">
        <f aca="false">IF(I74&lt;&gt;"",I74,IF(Custo_Hora_Padrao&lt;&gt;"",Custo_Hora_Padrao,""))</f>
        <v/>
      </c>
      <c r="R74" s="27" t="str">
        <f aca="false">IF(OR(P74="",Q74=""),"",P74*Q74*12)</f>
        <v/>
      </c>
      <c r="S74" s="27" t="str">
        <f aca="false">IF(R74="","",R74*N(J74))</f>
        <v/>
      </c>
      <c r="T74" s="27" t="str">
        <f aca="false">IF(R74="","",N(K74)*N(L74)*12)</f>
        <v/>
      </c>
      <c r="U74" s="27" t="str">
        <f aca="false">IF(R74="","",(N(M74)*Q74*HE_Fator+N(N74))*12)</f>
        <v/>
      </c>
      <c r="V74" s="28" t="str">
        <f aca="false">IF(R74="","",R74+S74+T74+U74)</f>
        <v/>
      </c>
      <c r="W74" s="15" t="str">
        <f aca="false">IF(V74="","",IF(V74&lt;=Faixa_1,1,IF(V74&lt;=Faixa_2,2,IF(V74&lt;=Faixa_3,3,IF(V74&lt;=Faixa_4,4,5)))))</f>
        <v/>
      </c>
      <c r="X74" s="16"/>
      <c r="Y74" s="16"/>
      <c r="Z74" s="16"/>
      <c r="AA74" s="16"/>
      <c r="AB74" s="16"/>
      <c r="AC74" s="16"/>
      <c r="AD74" s="16"/>
      <c r="AE74" s="16"/>
      <c r="AF74" s="15" t="str">
        <f aca="false">IF(AB74&lt;&gt;"",AB74,IF('MEUS PROCESSOS'!N74="Alto",Sug_Alto,IF('MEUS PROCESSOS'!N74="Médio",Sug_Medio,IF('MEUS PROCESSOS'!N74="Baixo",Sug_Baixo,""))))</f>
        <v/>
      </c>
      <c r="AG74" s="15" t="str">
        <f aca="false">IF(AC74&lt;&gt;"",AC74,IF('MEUS PROCESSOS'!O74="Alto",Sug_Alto,IF('MEUS PROCESSOS'!O74="Médio",Sug_Medio,IF('MEUS PROCESSOS'!O74="Baixo",Sug_Baixo,""))))</f>
        <v/>
      </c>
      <c r="AH74" s="15" t="str">
        <f aca="false">IF(B74="","",IF(AND(AB74&lt;&gt;"",AC74&lt;&gt;""),"Avaliado pela empresa",IF(AND(AB74="",AC74="",'MEUS PROCESSOS'!N74&lt;&gt;""),"Sugestão da biblioteca",IF('MEUS PROCESSOS'!N74&lt;&gt;"","Parcialmente sugerido",IF(AND(AB74="",AC74=""),"","Avaliado pela empresa")))))</f>
        <v/>
      </c>
      <c r="AI74" s="18" t="str">
        <f aca="false">IF(B74="","",IF(AND((COUNTBLANK(X74:AA74)+COUNTBLANK(AD74:AE74)+(AF74="")*1+(AG74="")*1)=0,W74&lt;&gt;""),"Completo","Incompleto — faltam "&amp;IF((COUNTBLANK(X74:AA74)+COUNTBLANK(AD74:AE74)+(AF74="")*1+(AG74="")*1)&gt;0,(COUNTBLANK(X74:AA74)+COUNTBLANK(AD74:AE74)+(AF74="")*1+(AG74="")*1)&amp;IF((COUNTBLANK(X74:AA74)+COUNTBLANK(AD74:AE74)+(AF74="")*1+(AG74="")*1)=1," avaliação"," avaliações"),"")&amp;IF(AND((COUNTBLANK(X74:AA74)+COUNTBLANK(AD74:AE74)+(AF74="")*1+(AG74="")*1)&gt;0,W74=""), " e ","")&amp;IF(W74="","os dados de custo","")))</f>
        <v/>
      </c>
      <c r="AJ74" s="29" t="str">
        <f aca="false">IF($AI74&lt;&gt;"Completo","",W_Custo*(W74-1)/4+W_Imp*(X74-1)/4)</f>
        <v/>
      </c>
      <c r="AK74" s="29" t="str">
        <f aca="false">IF($AI74&lt;&gt;"Completo","",W_Pot*(MAX(AF74,AG74)-1)/4+W_Rep*(Y74-1)/4+W_Pad*(Z74-1)/4+W_Vol*(AA74-1)/4)</f>
        <v/>
      </c>
      <c r="AL74" s="29" t="str">
        <f aca="false">IF($AI74&lt;&gt;"Completo","",(1-F_Pen*(AE74-1)/4)*(1-F_Pen*(AD74-1)/4))</f>
        <v/>
      </c>
      <c r="AM74" s="29" t="str">
        <f aca="false">IF($AI74&lt;&gt;"Completo","",SQRT(AK74*AL74))</f>
        <v/>
      </c>
      <c r="AN74" s="30" t="str">
        <f aca="false">IF($AI74&lt;&gt;"Completo","",100*AJ74^Exp_V*AM74^Exp_Vb)</f>
        <v/>
      </c>
      <c r="AO74" s="15" t="str">
        <f aca="false">IF(AN74="","",IF(AJ74&gt;=Corte,IF(AM74&gt;=Corte,"Fazer primeiro","Projeto estratégico"),IF(AM74&gt;=Corte,"Quick win","Evitar")))</f>
        <v/>
      </c>
      <c r="AP74" s="15" t="str">
        <f aca="false">IF(AN74="","",IF(OR(AD74&gt;=Trava_Nota,AE74&gt;=Trava_Nota),"SIM","—"))</f>
        <v/>
      </c>
      <c r="AQ74" s="15" t="str">
        <f aca="false">IF(AN74="","",IF(MAX(AF74,AG74)&lt;=Rota_Nota,"SIM","—"))</f>
        <v/>
      </c>
      <c r="AR74" s="15" t="str">
        <f aca="false">IF(AN74="","",IF(Z74&lt;=Rota_Nota,"SIM","—"))</f>
        <v/>
      </c>
      <c r="AS74" s="15" t="str">
        <f aca="false">IF(AN74="","",IF(AP74="SIM",IF(AJ74&gt;=Corte,"Projeto estratégico","Evitar"),AO74))</f>
        <v/>
      </c>
      <c r="AT74" s="15" t="str">
        <f aca="false">IF(AN74="","",IF(OR(AND(AJ74&gt;=Fr_Min,AJ74&lt;=Fr_Max),AND(AM74&gt;=Fr_Min,AM74&lt;=Fr_Max)),"Revisar",""))</f>
        <v/>
      </c>
      <c r="AU74" s="15" t="str">
        <f aca="false">IF(BE74="","",COUNTIF($BE$6:$BE$105,"&gt;"&amp;BE74)+1)</f>
        <v/>
      </c>
      <c r="AV74" s="16"/>
      <c r="AW74" s="15" t="str">
        <f aca="false">IF(B74="","",IF(AV74&lt;&gt;"",AV74,'MEUS PROCESSOS'!M74))</f>
        <v/>
      </c>
      <c r="AX74" s="23"/>
      <c r="AY74" s="31" t="str">
        <f aca="false">IF(AW74="","",IF(AX74&lt;&gt;"",AX74,IF(AW74="S",Red_S,IF(AW74="P",Red_P,IF(AW74="A",Red_A,IF(AW74="IA",Red_IA,""))))))</f>
        <v/>
      </c>
      <c r="AZ74" s="27" t="str">
        <f aca="false">IF(OR(V74="",AY74=""),"",(T74+U74)*AY74)</f>
        <v/>
      </c>
      <c r="BA74" s="27" t="str">
        <f aca="false">IF(OR(V74="",AY74=""),"",(R74+S74)*AY74)</f>
        <v/>
      </c>
      <c r="BB74" s="27" t="str">
        <f aca="false">IF(AZ74="","",AZ74+BA74)</f>
        <v/>
      </c>
      <c r="BC74" s="27" t="str">
        <f aca="false">IF(OR(P74="",AY74=""),"",(P74*(1+N(J74))+N(M74))*12*AY74)</f>
        <v/>
      </c>
      <c r="BD74" s="18" t="str">
        <f aca="false">IF(B74="","",IF(AND(AW74="E",AX74=""),"Eliminar: informe quanto do esforço atual deixa de existir (0% a 100%). Não há percentual inicial sugerido.",IF(AND(AX74="",AY74&lt;&gt;""),"Redução pela faixa inicial para simulação","")))</f>
        <v/>
      </c>
      <c r="BE74" s="19" t="str">
        <f aca="false">IF(AND(AN74&lt;&gt;"",D74=1),AN74+(1000-A74)/1000000,"")</f>
        <v/>
      </c>
    </row>
    <row r="75" customFormat="false" ht="15" hidden="false" customHeight="false" outlineLevel="0" collapsed="false">
      <c r="A75" s="15" t="n">
        <v>70</v>
      </c>
      <c r="B75" s="18" t="str">
        <f aca="false">IF('MEUS PROCESSOS'!J75="","",'MEUS PROCESSOS'!J75)</f>
        <v/>
      </c>
      <c r="C75" s="15" t="str">
        <f aca="false">IF('MEUS PROCESSOS'!K75="","",'MEUS PROCESSOS'!K75)</f>
        <v/>
      </c>
      <c r="D75" s="19" t="n">
        <f aca="false">'MEUS PROCESSOS'!Q75</f>
        <v>0</v>
      </c>
      <c r="E75" s="16"/>
      <c r="F75" s="16"/>
      <c r="G75" s="16"/>
      <c r="H75" s="16"/>
      <c r="I75" s="22"/>
      <c r="J75" s="23"/>
      <c r="K75" s="16"/>
      <c r="L75" s="24"/>
      <c r="M75" s="16"/>
      <c r="N75" s="24"/>
      <c r="O75" s="25" t="str">
        <f aca="false">IF(OR(E75="",F75=""),"",F75*IF(E75="Diária",Mult_Diaria,IF(E75="Semanal",Mult_Semanal,1)))</f>
        <v/>
      </c>
      <c r="P75" s="25" t="str">
        <f aca="false">IF(OR(O75="",G75="",H75=""),"",O75*G75/60*H75)</f>
        <v/>
      </c>
      <c r="Q75" s="26" t="str">
        <f aca="false">IF(I75&lt;&gt;"",I75,IF(Custo_Hora_Padrao&lt;&gt;"",Custo_Hora_Padrao,""))</f>
        <v/>
      </c>
      <c r="R75" s="27" t="str">
        <f aca="false">IF(OR(P75="",Q75=""),"",P75*Q75*12)</f>
        <v/>
      </c>
      <c r="S75" s="27" t="str">
        <f aca="false">IF(R75="","",R75*N(J75))</f>
        <v/>
      </c>
      <c r="T75" s="27" t="str">
        <f aca="false">IF(R75="","",N(K75)*N(L75)*12)</f>
        <v/>
      </c>
      <c r="U75" s="27" t="str">
        <f aca="false">IF(R75="","",(N(M75)*Q75*HE_Fator+N(N75))*12)</f>
        <v/>
      </c>
      <c r="V75" s="28" t="str">
        <f aca="false">IF(R75="","",R75+S75+T75+U75)</f>
        <v/>
      </c>
      <c r="W75" s="15" t="str">
        <f aca="false">IF(V75="","",IF(V75&lt;=Faixa_1,1,IF(V75&lt;=Faixa_2,2,IF(V75&lt;=Faixa_3,3,IF(V75&lt;=Faixa_4,4,5)))))</f>
        <v/>
      </c>
      <c r="X75" s="16"/>
      <c r="Y75" s="16"/>
      <c r="Z75" s="16"/>
      <c r="AA75" s="16"/>
      <c r="AB75" s="16"/>
      <c r="AC75" s="16"/>
      <c r="AD75" s="16"/>
      <c r="AE75" s="16"/>
      <c r="AF75" s="15" t="str">
        <f aca="false">IF(AB75&lt;&gt;"",AB75,IF('MEUS PROCESSOS'!N75="Alto",Sug_Alto,IF('MEUS PROCESSOS'!N75="Médio",Sug_Medio,IF('MEUS PROCESSOS'!N75="Baixo",Sug_Baixo,""))))</f>
        <v/>
      </c>
      <c r="AG75" s="15" t="str">
        <f aca="false">IF(AC75&lt;&gt;"",AC75,IF('MEUS PROCESSOS'!O75="Alto",Sug_Alto,IF('MEUS PROCESSOS'!O75="Médio",Sug_Medio,IF('MEUS PROCESSOS'!O75="Baixo",Sug_Baixo,""))))</f>
        <v/>
      </c>
      <c r="AH75" s="15" t="str">
        <f aca="false">IF(B75="","",IF(AND(AB75&lt;&gt;"",AC75&lt;&gt;""),"Avaliado pela empresa",IF(AND(AB75="",AC75="",'MEUS PROCESSOS'!N75&lt;&gt;""),"Sugestão da biblioteca",IF('MEUS PROCESSOS'!N75&lt;&gt;"","Parcialmente sugerido",IF(AND(AB75="",AC75=""),"","Avaliado pela empresa")))))</f>
        <v/>
      </c>
      <c r="AI75" s="18" t="str">
        <f aca="false">IF(B75="","",IF(AND((COUNTBLANK(X75:AA75)+COUNTBLANK(AD75:AE75)+(AF75="")*1+(AG75="")*1)=0,W75&lt;&gt;""),"Completo","Incompleto — faltam "&amp;IF((COUNTBLANK(X75:AA75)+COUNTBLANK(AD75:AE75)+(AF75="")*1+(AG75="")*1)&gt;0,(COUNTBLANK(X75:AA75)+COUNTBLANK(AD75:AE75)+(AF75="")*1+(AG75="")*1)&amp;IF((COUNTBLANK(X75:AA75)+COUNTBLANK(AD75:AE75)+(AF75="")*1+(AG75="")*1)=1," avaliação"," avaliações"),"")&amp;IF(AND((COUNTBLANK(X75:AA75)+COUNTBLANK(AD75:AE75)+(AF75="")*1+(AG75="")*1)&gt;0,W75=""), " e ","")&amp;IF(W75="","os dados de custo","")))</f>
        <v/>
      </c>
      <c r="AJ75" s="29" t="str">
        <f aca="false">IF($AI75&lt;&gt;"Completo","",W_Custo*(W75-1)/4+W_Imp*(X75-1)/4)</f>
        <v/>
      </c>
      <c r="AK75" s="29" t="str">
        <f aca="false">IF($AI75&lt;&gt;"Completo","",W_Pot*(MAX(AF75,AG75)-1)/4+W_Rep*(Y75-1)/4+W_Pad*(Z75-1)/4+W_Vol*(AA75-1)/4)</f>
        <v/>
      </c>
      <c r="AL75" s="29" t="str">
        <f aca="false">IF($AI75&lt;&gt;"Completo","",(1-F_Pen*(AE75-1)/4)*(1-F_Pen*(AD75-1)/4))</f>
        <v/>
      </c>
      <c r="AM75" s="29" t="str">
        <f aca="false">IF($AI75&lt;&gt;"Completo","",SQRT(AK75*AL75))</f>
        <v/>
      </c>
      <c r="AN75" s="30" t="str">
        <f aca="false">IF($AI75&lt;&gt;"Completo","",100*AJ75^Exp_V*AM75^Exp_Vb)</f>
        <v/>
      </c>
      <c r="AO75" s="15" t="str">
        <f aca="false">IF(AN75="","",IF(AJ75&gt;=Corte,IF(AM75&gt;=Corte,"Fazer primeiro","Projeto estratégico"),IF(AM75&gt;=Corte,"Quick win","Evitar")))</f>
        <v/>
      </c>
      <c r="AP75" s="15" t="str">
        <f aca="false">IF(AN75="","",IF(OR(AD75&gt;=Trava_Nota,AE75&gt;=Trava_Nota),"SIM","—"))</f>
        <v/>
      </c>
      <c r="AQ75" s="15" t="str">
        <f aca="false">IF(AN75="","",IF(MAX(AF75,AG75)&lt;=Rota_Nota,"SIM","—"))</f>
        <v/>
      </c>
      <c r="AR75" s="15" t="str">
        <f aca="false">IF(AN75="","",IF(Z75&lt;=Rota_Nota,"SIM","—"))</f>
        <v/>
      </c>
      <c r="AS75" s="15" t="str">
        <f aca="false">IF(AN75="","",IF(AP75="SIM",IF(AJ75&gt;=Corte,"Projeto estratégico","Evitar"),AO75))</f>
        <v/>
      </c>
      <c r="AT75" s="15" t="str">
        <f aca="false">IF(AN75="","",IF(OR(AND(AJ75&gt;=Fr_Min,AJ75&lt;=Fr_Max),AND(AM75&gt;=Fr_Min,AM75&lt;=Fr_Max)),"Revisar",""))</f>
        <v/>
      </c>
      <c r="AU75" s="15" t="str">
        <f aca="false">IF(BE75="","",COUNTIF($BE$6:$BE$105,"&gt;"&amp;BE75)+1)</f>
        <v/>
      </c>
      <c r="AV75" s="16"/>
      <c r="AW75" s="15" t="str">
        <f aca="false">IF(B75="","",IF(AV75&lt;&gt;"",AV75,'MEUS PROCESSOS'!M75))</f>
        <v/>
      </c>
      <c r="AX75" s="23"/>
      <c r="AY75" s="31" t="str">
        <f aca="false">IF(AW75="","",IF(AX75&lt;&gt;"",AX75,IF(AW75="S",Red_S,IF(AW75="P",Red_P,IF(AW75="A",Red_A,IF(AW75="IA",Red_IA,""))))))</f>
        <v/>
      </c>
      <c r="AZ75" s="27" t="str">
        <f aca="false">IF(OR(V75="",AY75=""),"",(T75+U75)*AY75)</f>
        <v/>
      </c>
      <c r="BA75" s="27" t="str">
        <f aca="false">IF(OR(V75="",AY75=""),"",(R75+S75)*AY75)</f>
        <v/>
      </c>
      <c r="BB75" s="27" t="str">
        <f aca="false">IF(AZ75="","",AZ75+BA75)</f>
        <v/>
      </c>
      <c r="BC75" s="27" t="str">
        <f aca="false">IF(OR(P75="",AY75=""),"",(P75*(1+N(J75))+N(M75))*12*AY75)</f>
        <v/>
      </c>
      <c r="BD75" s="18" t="str">
        <f aca="false">IF(B75="","",IF(AND(AW75="E",AX75=""),"Eliminar: informe quanto do esforço atual deixa de existir (0% a 100%). Não há percentual inicial sugerido.",IF(AND(AX75="",AY75&lt;&gt;""),"Redução pela faixa inicial para simulação","")))</f>
        <v/>
      </c>
      <c r="BE75" s="19" t="str">
        <f aca="false">IF(AND(AN75&lt;&gt;"",D75=1),AN75+(1000-A75)/1000000,"")</f>
        <v/>
      </c>
    </row>
    <row r="76" customFormat="false" ht="15" hidden="false" customHeight="false" outlineLevel="0" collapsed="false">
      <c r="A76" s="15" t="n">
        <v>71</v>
      </c>
      <c r="B76" s="18" t="str">
        <f aca="false">IF('MEUS PROCESSOS'!J76="","",'MEUS PROCESSOS'!J76)</f>
        <v/>
      </c>
      <c r="C76" s="15" t="str">
        <f aca="false">IF('MEUS PROCESSOS'!K76="","",'MEUS PROCESSOS'!K76)</f>
        <v/>
      </c>
      <c r="D76" s="19" t="n">
        <f aca="false">'MEUS PROCESSOS'!Q76</f>
        <v>0</v>
      </c>
      <c r="E76" s="16"/>
      <c r="F76" s="16"/>
      <c r="G76" s="16"/>
      <c r="H76" s="16"/>
      <c r="I76" s="22"/>
      <c r="J76" s="23"/>
      <c r="K76" s="16"/>
      <c r="L76" s="24"/>
      <c r="M76" s="16"/>
      <c r="N76" s="24"/>
      <c r="O76" s="25" t="str">
        <f aca="false">IF(OR(E76="",F76=""),"",F76*IF(E76="Diária",Mult_Diaria,IF(E76="Semanal",Mult_Semanal,1)))</f>
        <v/>
      </c>
      <c r="P76" s="25" t="str">
        <f aca="false">IF(OR(O76="",G76="",H76=""),"",O76*G76/60*H76)</f>
        <v/>
      </c>
      <c r="Q76" s="26" t="str">
        <f aca="false">IF(I76&lt;&gt;"",I76,IF(Custo_Hora_Padrao&lt;&gt;"",Custo_Hora_Padrao,""))</f>
        <v/>
      </c>
      <c r="R76" s="27" t="str">
        <f aca="false">IF(OR(P76="",Q76=""),"",P76*Q76*12)</f>
        <v/>
      </c>
      <c r="S76" s="27" t="str">
        <f aca="false">IF(R76="","",R76*N(J76))</f>
        <v/>
      </c>
      <c r="T76" s="27" t="str">
        <f aca="false">IF(R76="","",N(K76)*N(L76)*12)</f>
        <v/>
      </c>
      <c r="U76" s="27" t="str">
        <f aca="false">IF(R76="","",(N(M76)*Q76*HE_Fator+N(N76))*12)</f>
        <v/>
      </c>
      <c r="V76" s="28" t="str">
        <f aca="false">IF(R76="","",R76+S76+T76+U76)</f>
        <v/>
      </c>
      <c r="W76" s="15" t="str">
        <f aca="false">IF(V76="","",IF(V76&lt;=Faixa_1,1,IF(V76&lt;=Faixa_2,2,IF(V76&lt;=Faixa_3,3,IF(V76&lt;=Faixa_4,4,5)))))</f>
        <v/>
      </c>
      <c r="X76" s="16"/>
      <c r="Y76" s="16"/>
      <c r="Z76" s="16"/>
      <c r="AA76" s="16"/>
      <c r="AB76" s="16"/>
      <c r="AC76" s="16"/>
      <c r="AD76" s="16"/>
      <c r="AE76" s="16"/>
      <c r="AF76" s="15" t="str">
        <f aca="false">IF(AB76&lt;&gt;"",AB76,IF('MEUS PROCESSOS'!N76="Alto",Sug_Alto,IF('MEUS PROCESSOS'!N76="Médio",Sug_Medio,IF('MEUS PROCESSOS'!N76="Baixo",Sug_Baixo,""))))</f>
        <v/>
      </c>
      <c r="AG76" s="15" t="str">
        <f aca="false">IF(AC76&lt;&gt;"",AC76,IF('MEUS PROCESSOS'!O76="Alto",Sug_Alto,IF('MEUS PROCESSOS'!O76="Médio",Sug_Medio,IF('MEUS PROCESSOS'!O76="Baixo",Sug_Baixo,""))))</f>
        <v/>
      </c>
      <c r="AH76" s="15" t="str">
        <f aca="false">IF(B76="","",IF(AND(AB76&lt;&gt;"",AC76&lt;&gt;""),"Avaliado pela empresa",IF(AND(AB76="",AC76="",'MEUS PROCESSOS'!N76&lt;&gt;""),"Sugestão da biblioteca",IF('MEUS PROCESSOS'!N76&lt;&gt;"","Parcialmente sugerido",IF(AND(AB76="",AC76=""),"","Avaliado pela empresa")))))</f>
        <v/>
      </c>
      <c r="AI76" s="18" t="str">
        <f aca="false">IF(B76="","",IF(AND((COUNTBLANK(X76:AA76)+COUNTBLANK(AD76:AE76)+(AF76="")*1+(AG76="")*1)=0,W76&lt;&gt;""),"Completo","Incompleto — faltam "&amp;IF((COUNTBLANK(X76:AA76)+COUNTBLANK(AD76:AE76)+(AF76="")*1+(AG76="")*1)&gt;0,(COUNTBLANK(X76:AA76)+COUNTBLANK(AD76:AE76)+(AF76="")*1+(AG76="")*1)&amp;IF((COUNTBLANK(X76:AA76)+COUNTBLANK(AD76:AE76)+(AF76="")*1+(AG76="")*1)=1," avaliação"," avaliações"),"")&amp;IF(AND((COUNTBLANK(X76:AA76)+COUNTBLANK(AD76:AE76)+(AF76="")*1+(AG76="")*1)&gt;0,W76=""), " e ","")&amp;IF(W76="","os dados de custo","")))</f>
        <v/>
      </c>
      <c r="AJ76" s="29" t="str">
        <f aca="false">IF($AI76&lt;&gt;"Completo","",W_Custo*(W76-1)/4+W_Imp*(X76-1)/4)</f>
        <v/>
      </c>
      <c r="AK76" s="29" t="str">
        <f aca="false">IF($AI76&lt;&gt;"Completo","",W_Pot*(MAX(AF76,AG76)-1)/4+W_Rep*(Y76-1)/4+W_Pad*(Z76-1)/4+W_Vol*(AA76-1)/4)</f>
        <v/>
      </c>
      <c r="AL76" s="29" t="str">
        <f aca="false">IF($AI76&lt;&gt;"Completo","",(1-F_Pen*(AE76-1)/4)*(1-F_Pen*(AD76-1)/4))</f>
        <v/>
      </c>
      <c r="AM76" s="29" t="str">
        <f aca="false">IF($AI76&lt;&gt;"Completo","",SQRT(AK76*AL76))</f>
        <v/>
      </c>
      <c r="AN76" s="30" t="str">
        <f aca="false">IF($AI76&lt;&gt;"Completo","",100*AJ76^Exp_V*AM76^Exp_Vb)</f>
        <v/>
      </c>
      <c r="AO76" s="15" t="str">
        <f aca="false">IF(AN76="","",IF(AJ76&gt;=Corte,IF(AM76&gt;=Corte,"Fazer primeiro","Projeto estratégico"),IF(AM76&gt;=Corte,"Quick win","Evitar")))</f>
        <v/>
      </c>
      <c r="AP76" s="15" t="str">
        <f aca="false">IF(AN76="","",IF(OR(AD76&gt;=Trava_Nota,AE76&gt;=Trava_Nota),"SIM","—"))</f>
        <v/>
      </c>
      <c r="AQ76" s="15" t="str">
        <f aca="false">IF(AN76="","",IF(MAX(AF76,AG76)&lt;=Rota_Nota,"SIM","—"))</f>
        <v/>
      </c>
      <c r="AR76" s="15" t="str">
        <f aca="false">IF(AN76="","",IF(Z76&lt;=Rota_Nota,"SIM","—"))</f>
        <v/>
      </c>
      <c r="AS76" s="15" t="str">
        <f aca="false">IF(AN76="","",IF(AP76="SIM",IF(AJ76&gt;=Corte,"Projeto estratégico","Evitar"),AO76))</f>
        <v/>
      </c>
      <c r="AT76" s="15" t="str">
        <f aca="false">IF(AN76="","",IF(OR(AND(AJ76&gt;=Fr_Min,AJ76&lt;=Fr_Max),AND(AM76&gt;=Fr_Min,AM76&lt;=Fr_Max)),"Revisar",""))</f>
        <v/>
      </c>
      <c r="AU76" s="15" t="str">
        <f aca="false">IF(BE76="","",COUNTIF($BE$6:$BE$105,"&gt;"&amp;BE76)+1)</f>
        <v/>
      </c>
      <c r="AV76" s="16"/>
      <c r="AW76" s="15" t="str">
        <f aca="false">IF(B76="","",IF(AV76&lt;&gt;"",AV76,'MEUS PROCESSOS'!M76))</f>
        <v/>
      </c>
      <c r="AX76" s="23"/>
      <c r="AY76" s="31" t="str">
        <f aca="false">IF(AW76="","",IF(AX76&lt;&gt;"",AX76,IF(AW76="S",Red_S,IF(AW76="P",Red_P,IF(AW76="A",Red_A,IF(AW76="IA",Red_IA,""))))))</f>
        <v/>
      </c>
      <c r="AZ76" s="27" t="str">
        <f aca="false">IF(OR(V76="",AY76=""),"",(T76+U76)*AY76)</f>
        <v/>
      </c>
      <c r="BA76" s="27" t="str">
        <f aca="false">IF(OR(V76="",AY76=""),"",(R76+S76)*AY76)</f>
        <v/>
      </c>
      <c r="BB76" s="27" t="str">
        <f aca="false">IF(AZ76="","",AZ76+BA76)</f>
        <v/>
      </c>
      <c r="BC76" s="27" t="str">
        <f aca="false">IF(OR(P76="",AY76=""),"",(P76*(1+N(J76))+N(M76))*12*AY76)</f>
        <v/>
      </c>
      <c r="BD76" s="18" t="str">
        <f aca="false">IF(B76="","",IF(AND(AW76="E",AX76=""),"Eliminar: informe quanto do esforço atual deixa de existir (0% a 100%). Não há percentual inicial sugerido.",IF(AND(AX76="",AY76&lt;&gt;""),"Redução pela faixa inicial para simulação","")))</f>
        <v/>
      </c>
      <c r="BE76" s="19" t="str">
        <f aca="false">IF(AND(AN76&lt;&gt;"",D76=1),AN76+(1000-A76)/1000000,"")</f>
        <v/>
      </c>
    </row>
    <row r="77" customFormat="false" ht="15" hidden="false" customHeight="false" outlineLevel="0" collapsed="false">
      <c r="A77" s="15" t="n">
        <v>72</v>
      </c>
      <c r="B77" s="18" t="str">
        <f aca="false">IF('MEUS PROCESSOS'!J77="","",'MEUS PROCESSOS'!J77)</f>
        <v/>
      </c>
      <c r="C77" s="15" t="str">
        <f aca="false">IF('MEUS PROCESSOS'!K77="","",'MEUS PROCESSOS'!K77)</f>
        <v/>
      </c>
      <c r="D77" s="19" t="n">
        <f aca="false">'MEUS PROCESSOS'!Q77</f>
        <v>0</v>
      </c>
      <c r="E77" s="16"/>
      <c r="F77" s="16"/>
      <c r="G77" s="16"/>
      <c r="H77" s="16"/>
      <c r="I77" s="22"/>
      <c r="J77" s="23"/>
      <c r="K77" s="16"/>
      <c r="L77" s="24"/>
      <c r="M77" s="16"/>
      <c r="N77" s="24"/>
      <c r="O77" s="25" t="str">
        <f aca="false">IF(OR(E77="",F77=""),"",F77*IF(E77="Diária",Mult_Diaria,IF(E77="Semanal",Mult_Semanal,1)))</f>
        <v/>
      </c>
      <c r="P77" s="25" t="str">
        <f aca="false">IF(OR(O77="",G77="",H77=""),"",O77*G77/60*H77)</f>
        <v/>
      </c>
      <c r="Q77" s="26" t="str">
        <f aca="false">IF(I77&lt;&gt;"",I77,IF(Custo_Hora_Padrao&lt;&gt;"",Custo_Hora_Padrao,""))</f>
        <v/>
      </c>
      <c r="R77" s="27" t="str">
        <f aca="false">IF(OR(P77="",Q77=""),"",P77*Q77*12)</f>
        <v/>
      </c>
      <c r="S77" s="27" t="str">
        <f aca="false">IF(R77="","",R77*N(J77))</f>
        <v/>
      </c>
      <c r="T77" s="27" t="str">
        <f aca="false">IF(R77="","",N(K77)*N(L77)*12)</f>
        <v/>
      </c>
      <c r="U77" s="27" t="str">
        <f aca="false">IF(R77="","",(N(M77)*Q77*HE_Fator+N(N77))*12)</f>
        <v/>
      </c>
      <c r="V77" s="28" t="str">
        <f aca="false">IF(R77="","",R77+S77+T77+U77)</f>
        <v/>
      </c>
      <c r="W77" s="15" t="str">
        <f aca="false">IF(V77="","",IF(V77&lt;=Faixa_1,1,IF(V77&lt;=Faixa_2,2,IF(V77&lt;=Faixa_3,3,IF(V77&lt;=Faixa_4,4,5)))))</f>
        <v/>
      </c>
      <c r="X77" s="16"/>
      <c r="Y77" s="16"/>
      <c r="Z77" s="16"/>
      <c r="AA77" s="16"/>
      <c r="AB77" s="16"/>
      <c r="AC77" s="16"/>
      <c r="AD77" s="16"/>
      <c r="AE77" s="16"/>
      <c r="AF77" s="15" t="str">
        <f aca="false">IF(AB77&lt;&gt;"",AB77,IF('MEUS PROCESSOS'!N77="Alto",Sug_Alto,IF('MEUS PROCESSOS'!N77="Médio",Sug_Medio,IF('MEUS PROCESSOS'!N77="Baixo",Sug_Baixo,""))))</f>
        <v/>
      </c>
      <c r="AG77" s="15" t="str">
        <f aca="false">IF(AC77&lt;&gt;"",AC77,IF('MEUS PROCESSOS'!O77="Alto",Sug_Alto,IF('MEUS PROCESSOS'!O77="Médio",Sug_Medio,IF('MEUS PROCESSOS'!O77="Baixo",Sug_Baixo,""))))</f>
        <v/>
      </c>
      <c r="AH77" s="15" t="str">
        <f aca="false">IF(B77="","",IF(AND(AB77&lt;&gt;"",AC77&lt;&gt;""),"Avaliado pela empresa",IF(AND(AB77="",AC77="",'MEUS PROCESSOS'!N77&lt;&gt;""),"Sugestão da biblioteca",IF('MEUS PROCESSOS'!N77&lt;&gt;"","Parcialmente sugerido",IF(AND(AB77="",AC77=""),"","Avaliado pela empresa")))))</f>
        <v/>
      </c>
      <c r="AI77" s="18" t="str">
        <f aca="false">IF(B77="","",IF(AND((COUNTBLANK(X77:AA77)+COUNTBLANK(AD77:AE77)+(AF77="")*1+(AG77="")*1)=0,W77&lt;&gt;""),"Completo","Incompleto — faltam "&amp;IF((COUNTBLANK(X77:AA77)+COUNTBLANK(AD77:AE77)+(AF77="")*1+(AG77="")*1)&gt;0,(COUNTBLANK(X77:AA77)+COUNTBLANK(AD77:AE77)+(AF77="")*1+(AG77="")*1)&amp;IF((COUNTBLANK(X77:AA77)+COUNTBLANK(AD77:AE77)+(AF77="")*1+(AG77="")*1)=1," avaliação"," avaliações"),"")&amp;IF(AND((COUNTBLANK(X77:AA77)+COUNTBLANK(AD77:AE77)+(AF77="")*1+(AG77="")*1)&gt;0,W77=""), " e ","")&amp;IF(W77="","os dados de custo","")))</f>
        <v/>
      </c>
      <c r="AJ77" s="29" t="str">
        <f aca="false">IF($AI77&lt;&gt;"Completo","",W_Custo*(W77-1)/4+W_Imp*(X77-1)/4)</f>
        <v/>
      </c>
      <c r="AK77" s="29" t="str">
        <f aca="false">IF($AI77&lt;&gt;"Completo","",W_Pot*(MAX(AF77,AG77)-1)/4+W_Rep*(Y77-1)/4+W_Pad*(Z77-1)/4+W_Vol*(AA77-1)/4)</f>
        <v/>
      </c>
      <c r="AL77" s="29" t="str">
        <f aca="false">IF($AI77&lt;&gt;"Completo","",(1-F_Pen*(AE77-1)/4)*(1-F_Pen*(AD77-1)/4))</f>
        <v/>
      </c>
      <c r="AM77" s="29" t="str">
        <f aca="false">IF($AI77&lt;&gt;"Completo","",SQRT(AK77*AL77))</f>
        <v/>
      </c>
      <c r="AN77" s="30" t="str">
        <f aca="false">IF($AI77&lt;&gt;"Completo","",100*AJ77^Exp_V*AM77^Exp_Vb)</f>
        <v/>
      </c>
      <c r="AO77" s="15" t="str">
        <f aca="false">IF(AN77="","",IF(AJ77&gt;=Corte,IF(AM77&gt;=Corte,"Fazer primeiro","Projeto estratégico"),IF(AM77&gt;=Corte,"Quick win","Evitar")))</f>
        <v/>
      </c>
      <c r="AP77" s="15" t="str">
        <f aca="false">IF(AN77="","",IF(OR(AD77&gt;=Trava_Nota,AE77&gt;=Trava_Nota),"SIM","—"))</f>
        <v/>
      </c>
      <c r="AQ77" s="15" t="str">
        <f aca="false">IF(AN77="","",IF(MAX(AF77,AG77)&lt;=Rota_Nota,"SIM","—"))</f>
        <v/>
      </c>
      <c r="AR77" s="15" t="str">
        <f aca="false">IF(AN77="","",IF(Z77&lt;=Rota_Nota,"SIM","—"))</f>
        <v/>
      </c>
      <c r="AS77" s="15" t="str">
        <f aca="false">IF(AN77="","",IF(AP77="SIM",IF(AJ77&gt;=Corte,"Projeto estratégico","Evitar"),AO77))</f>
        <v/>
      </c>
      <c r="AT77" s="15" t="str">
        <f aca="false">IF(AN77="","",IF(OR(AND(AJ77&gt;=Fr_Min,AJ77&lt;=Fr_Max),AND(AM77&gt;=Fr_Min,AM77&lt;=Fr_Max)),"Revisar",""))</f>
        <v/>
      </c>
      <c r="AU77" s="15" t="str">
        <f aca="false">IF(BE77="","",COUNTIF($BE$6:$BE$105,"&gt;"&amp;BE77)+1)</f>
        <v/>
      </c>
      <c r="AV77" s="16"/>
      <c r="AW77" s="15" t="str">
        <f aca="false">IF(B77="","",IF(AV77&lt;&gt;"",AV77,'MEUS PROCESSOS'!M77))</f>
        <v/>
      </c>
      <c r="AX77" s="23"/>
      <c r="AY77" s="31" t="str">
        <f aca="false">IF(AW77="","",IF(AX77&lt;&gt;"",AX77,IF(AW77="S",Red_S,IF(AW77="P",Red_P,IF(AW77="A",Red_A,IF(AW77="IA",Red_IA,""))))))</f>
        <v/>
      </c>
      <c r="AZ77" s="27" t="str">
        <f aca="false">IF(OR(V77="",AY77=""),"",(T77+U77)*AY77)</f>
        <v/>
      </c>
      <c r="BA77" s="27" t="str">
        <f aca="false">IF(OR(V77="",AY77=""),"",(R77+S77)*AY77)</f>
        <v/>
      </c>
      <c r="BB77" s="27" t="str">
        <f aca="false">IF(AZ77="","",AZ77+BA77)</f>
        <v/>
      </c>
      <c r="BC77" s="27" t="str">
        <f aca="false">IF(OR(P77="",AY77=""),"",(P77*(1+N(J77))+N(M77))*12*AY77)</f>
        <v/>
      </c>
      <c r="BD77" s="18" t="str">
        <f aca="false">IF(B77="","",IF(AND(AW77="E",AX77=""),"Eliminar: informe quanto do esforço atual deixa de existir (0% a 100%). Não há percentual inicial sugerido.",IF(AND(AX77="",AY77&lt;&gt;""),"Redução pela faixa inicial para simulação","")))</f>
        <v/>
      </c>
      <c r="BE77" s="19" t="str">
        <f aca="false">IF(AND(AN77&lt;&gt;"",D77=1),AN77+(1000-A77)/1000000,"")</f>
        <v/>
      </c>
    </row>
    <row r="78" customFormat="false" ht="15" hidden="false" customHeight="false" outlineLevel="0" collapsed="false">
      <c r="A78" s="15" t="n">
        <v>73</v>
      </c>
      <c r="B78" s="18" t="str">
        <f aca="false">IF('MEUS PROCESSOS'!J78="","",'MEUS PROCESSOS'!J78)</f>
        <v/>
      </c>
      <c r="C78" s="15" t="str">
        <f aca="false">IF('MEUS PROCESSOS'!K78="","",'MEUS PROCESSOS'!K78)</f>
        <v/>
      </c>
      <c r="D78" s="19" t="n">
        <f aca="false">'MEUS PROCESSOS'!Q78</f>
        <v>0</v>
      </c>
      <c r="E78" s="16"/>
      <c r="F78" s="16"/>
      <c r="G78" s="16"/>
      <c r="H78" s="16"/>
      <c r="I78" s="22"/>
      <c r="J78" s="23"/>
      <c r="K78" s="16"/>
      <c r="L78" s="24"/>
      <c r="M78" s="16"/>
      <c r="N78" s="24"/>
      <c r="O78" s="25" t="str">
        <f aca="false">IF(OR(E78="",F78=""),"",F78*IF(E78="Diária",Mult_Diaria,IF(E78="Semanal",Mult_Semanal,1)))</f>
        <v/>
      </c>
      <c r="P78" s="25" t="str">
        <f aca="false">IF(OR(O78="",G78="",H78=""),"",O78*G78/60*H78)</f>
        <v/>
      </c>
      <c r="Q78" s="26" t="str">
        <f aca="false">IF(I78&lt;&gt;"",I78,IF(Custo_Hora_Padrao&lt;&gt;"",Custo_Hora_Padrao,""))</f>
        <v/>
      </c>
      <c r="R78" s="27" t="str">
        <f aca="false">IF(OR(P78="",Q78=""),"",P78*Q78*12)</f>
        <v/>
      </c>
      <c r="S78" s="27" t="str">
        <f aca="false">IF(R78="","",R78*N(J78))</f>
        <v/>
      </c>
      <c r="T78" s="27" t="str">
        <f aca="false">IF(R78="","",N(K78)*N(L78)*12)</f>
        <v/>
      </c>
      <c r="U78" s="27" t="str">
        <f aca="false">IF(R78="","",(N(M78)*Q78*HE_Fator+N(N78))*12)</f>
        <v/>
      </c>
      <c r="V78" s="28" t="str">
        <f aca="false">IF(R78="","",R78+S78+T78+U78)</f>
        <v/>
      </c>
      <c r="W78" s="15" t="str">
        <f aca="false">IF(V78="","",IF(V78&lt;=Faixa_1,1,IF(V78&lt;=Faixa_2,2,IF(V78&lt;=Faixa_3,3,IF(V78&lt;=Faixa_4,4,5)))))</f>
        <v/>
      </c>
      <c r="X78" s="16"/>
      <c r="Y78" s="16"/>
      <c r="Z78" s="16"/>
      <c r="AA78" s="16"/>
      <c r="AB78" s="16"/>
      <c r="AC78" s="16"/>
      <c r="AD78" s="16"/>
      <c r="AE78" s="16"/>
      <c r="AF78" s="15" t="str">
        <f aca="false">IF(AB78&lt;&gt;"",AB78,IF('MEUS PROCESSOS'!N78="Alto",Sug_Alto,IF('MEUS PROCESSOS'!N78="Médio",Sug_Medio,IF('MEUS PROCESSOS'!N78="Baixo",Sug_Baixo,""))))</f>
        <v/>
      </c>
      <c r="AG78" s="15" t="str">
        <f aca="false">IF(AC78&lt;&gt;"",AC78,IF('MEUS PROCESSOS'!O78="Alto",Sug_Alto,IF('MEUS PROCESSOS'!O78="Médio",Sug_Medio,IF('MEUS PROCESSOS'!O78="Baixo",Sug_Baixo,""))))</f>
        <v/>
      </c>
      <c r="AH78" s="15" t="str">
        <f aca="false">IF(B78="","",IF(AND(AB78&lt;&gt;"",AC78&lt;&gt;""),"Avaliado pela empresa",IF(AND(AB78="",AC78="",'MEUS PROCESSOS'!N78&lt;&gt;""),"Sugestão da biblioteca",IF('MEUS PROCESSOS'!N78&lt;&gt;"","Parcialmente sugerido",IF(AND(AB78="",AC78=""),"","Avaliado pela empresa")))))</f>
        <v/>
      </c>
      <c r="AI78" s="18" t="str">
        <f aca="false">IF(B78="","",IF(AND((COUNTBLANK(X78:AA78)+COUNTBLANK(AD78:AE78)+(AF78="")*1+(AG78="")*1)=0,W78&lt;&gt;""),"Completo","Incompleto — faltam "&amp;IF((COUNTBLANK(X78:AA78)+COUNTBLANK(AD78:AE78)+(AF78="")*1+(AG78="")*1)&gt;0,(COUNTBLANK(X78:AA78)+COUNTBLANK(AD78:AE78)+(AF78="")*1+(AG78="")*1)&amp;IF((COUNTBLANK(X78:AA78)+COUNTBLANK(AD78:AE78)+(AF78="")*1+(AG78="")*1)=1," avaliação"," avaliações"),"")&amp;IF(AND((COUNTBLANK(X78:AA78)+COUNTBLANK(AD78:AE78)+(AF78="")*1+(AG78="")*1)&gt;0,W78=""), " e ","")&amp;IF(W78="","os dados de custo","")))</f>
        <v/>
      </c>
      <c r="AJ78" s="29" t="str">
        <f aca="false">IF($AI78&lt;&gt;"Completo","",W_Custo*(W78-1)/4+W_Imp*(X78-1)/4)</f>
        <v/>
      </c>
      <c r="AK78" s="29" t="str">
        <f aca="false">IF($AI78&lt;&gt;"Completo","",W_Pot*(MAX(AF78,AG78)-1)/4+W_Rep*(Y78-1)/4+W_Pad*(Z78-1)/4+W_Vol*(AA78-1)/4)</f>
        <v/>
      </c>
      <c r="AL78" s="29" t="str">
        <f aca="false">IF($AI78&lt;&gt;"Completo","",(1-F_Pen*(AE78-1)/4)*(1-F_Pen*(AD78-1)/4))</f>
        <v/>
      </c>
      <c r="AM78" s="29" t="str">
        <f aca="false">IF($AI78&lt;&gt;"Completo","",SQRT(AK78*AL78))</f>
        <v/>
      </c>
      <c r="AN78" s="30" t="str">
        <f aca="false">IF($AI78&lt;&gt;"Completo","",100*AJ78^Exp_V*AM78^Exp_Vb)</f>
        <v/>
      </c>
      <c r="AO78" s="15" t="str">
        <f aca="false">IF(AN78="","",IF(AJ78&gt;=Corte,IF(AM78&gt;=Corte,"Fazer primeiro","Projeto estratégico"),IF(AM78&gt;=Corte,"Quick win","Evitar")))</f>
        <v/>
      </c>
      <c r="AP78" s="15" t="str">
        <f aca="false">IF(AN78="","",IF(OR(AD78&gt;=Trava_Nota,AE78&gt;=Trava_Nota),"SIM","—"))</f>
        <v/>
      </c>
      <c r="AQ78" s="15" t="str">
        <f aca="false">IF(AN78="","",IF(MAX(AF78,AG78)&lt;=Rota_Nota,"SIM","—"))</f>
        <v/>
      </c>
      <c r="AR78" s="15" t="str">
        <f aca="false">IF(AN78="","",IF(Z78&lt;=Rota_Nota,"SIM","—"))</f>
        <v/>
      </c>
      <c r="AS78" s="15" t="str">
        <f aca="false">IF(AN78="","",IF(AP78="SIM",IF(AJ78&gt;=Corte,"Projeto estratégico","Evitar"),AO78))</f>
        <v/>
      </c>
      <c r="AT78" s="15" t="str">
        <f aca="false">IF(AN78="","",IF(OR(AND(AJ78&gt;=Fr_Min,AJ78&lt;=Fr_Max),AND(AM78&gt;=Fr_Min,AM78&lt;=Fr_Max)),"Revisar",""))</f>
        <v/>
      </c>
      <c r="AU78" s="15" t="str">
        <f aca="false">IF(BE78="","",COUNTIF($BE$6:$BE$105,"&gt;"&amp;BE78)+1)</f>
        <v/>
      </c>
      <c r="AV78" s="16"/>
      <c r="AW78" s="15" t="str">
        <f aca="false">IF(B78="","",IF(AV78&lt;&gt;"",AV78,'MEUS PROCESSOS'!M78))</f>
        <v/>
      </c>
      <c r="AX78" s="23"/>
      <c r="AY78" s="31" t="str">
        <f aca="false">IF(AW78="","",IF(AX78&lt;&gt;"",AX78,IF(AW78="S",Red_S,IF(AW78="P",Red_P,IF(AW78="A",Red_A,IF(AW78="IA",Red_IA,""))))))</f>
        <v/>
      </c>
      <c r="AZ78" s="27" t="str">
        <f aca="false">IF(OR(V78="",AY78=""),"",(T78+U78)*AY78)</f>
        <v/>
      </c>
      <c r="BA78" s="27" t="str">
        <f aca="false">IF(OR(V78="",AY78=""),"",(R78+S78)*AY78)</f>
        <v/>
      </c>
      <c r="BB78" s="27" t="str">
        <f aca="false">IF(AZ78="","",AZ78+BA78)</f>
        <v/>
      </c>
      <c r="BC78" s="27" t="str">
        <f aca="false">IF(OR(P78="",AY78=""),"",(P78*(1+N(J78))+N(M78))*12*AY78)</f>
        <v/>
      </c>
      <c r="BD78" s="18" t="str">
        <f aca="false">IF(B78="","",IF(AND(AW78="E",AX78=""),"Eliminar: informe quanto do esforço atual deixa de existir (0% a 100%). Não há percentual inicial sugerido.",IF(AND(AX78="",AY78&lt;&gt;""),"Redução pela faixa inicial para simulação","")))</f>
        <v/>
      </c>
      <c r="BE78" s="19" t="str">
        <f aca="false">IF(AND(AN78&lt;&gt;"",D78=1),AN78+(1000-A78)/1000000,"")</f>
        <v/>
      </c>
    </row>
    <row r="79" customFormat="false" ht="15" hidden="false" customHeight="false" outlineLevel="0" collapsed="false">
      <c r="A79" s="15" t="n">
        <v>74</v>
      </c>
      <c r="B79" s="18" t="str">
        <f aca="false">IF('MEUS PROCESSOS'!J79="","",'MEUS PROCESSOS'!J79)</f>
        <v/>
      </c>
      <c r="C79" s="15" t="str">
        <f aca="false">IF('MEUS PROCESSOS'!K79="","",'MEUS PROCESSOS'!K79)</f>
        <v/>
      </c>
      <c r="D79" s="19" t="n">
        <f aca="false">'MEUS PROCESSOS'!Q79</f>
        <v>0</v>
      </c>
      <c r="E79" s="16"/>
      <c r="F79" s="16"/>
      <c r="G79" s="16"/>
      <c r="H79" s="16"/>
      <c r="I79" s="22"/>
      <c r="J79" s="23"/>
      <c r="K79" s="16"/>
      <c r="L79" s="24"/>
      <c r="M79" s="16"/>
      <c r="N79" s="24"/>
      <c r="O79" s="25" t="str">
        <f aca="false">IF(OR(E79="",F79=""),"",F79*IF(E79="Diária",Mult_Diaria,IF(E79="Semanal",Mult_Semanal,1)))</f>
        <v/>
      </c>
      <c r="P79" s="25" t="str">
        <f aca="false">IF(OR(O79="",G79="",H79=""),"",O79*G79/60*H79)</f>
        <v/>
      </c>
      <c r="Q79" s="26" t="str">
        <f aca="false">IF(I79&lt;&gt;"",I79,IF(Custo_Hora_Padrao&lt;&gt;"",Custo_Hora_Padrao,""))</f>
        <v/>
      </c>
      <c r="R79" s="27" t="str">
        <f aca="false">IF(OR(P79="",Q79=""),"",P79*Q79*12)</f>
        <v/>
      </c>
      <c r="S79" s="27" t="str">
        <f aca="false">IF(R79="","",R79*N(J79))</f>
        <v/>
      </c>
      <c r="T79" s="27" t="str">
        <f aca="false">IF(R79="","",N(K79)*N(L79)*12)</f>
        <v/>
      </c>
      <c r="U79" s="27" t="str">
        <f aca="false">IF(R79="","",(N(M79)*Q79*HE_Fator+N(N79))*12)</f>
        <v/>
      </c>
      <c r="V79" s="28" t="str">
        <f aca="false">IF(R79="","",R79+S79+T79+U79)</f>
        <v/>
      </c>
      <c r="W79" s="15" t="str">
        <f aca="false">IF(V79="","",IF(V79&lt;=Faixa_1,1,IF(V79&lt;=Faixa_2,2,IF(V79&lt;=Faixa_3,3,IF(V79&lt;=Faixa_4,4,5)))))</f>
        <v/>
      </c>
      <c r="X79" s="16"/>
      <c r="Y79" s="16"/>
      <c r="Z79" s="16"/>
      <c r="AA79" s="16"/>
      <c r="AB79" s="16"/>
      <c r="AC79" s="16"/>
      <c r="AD79" s="16"/>
      <c r="AE79" s="16"/>
      <c r="AF79" s="15" t="str">
        <f aca="false">IF(AB79&lt;&gt;"",AB79,IF('MEUS PROCESSOS'!N79="Alto",Sug_Alto,IF('MEUS PROCESSOS'!N79="Médio",Sug_Medio,IF('MEUS PROCESSOS'!N79="Baixo",Sug_Baixo,""))))</f>
        <v/>
      </c>
      <c r="AG79" s="15" t="str">
        <f aca="false">IF(AC79&lt;&gt;"",AC79,IF('MEUS PROCESSOS'!O79="Alto",Sug_Alto,IF('MEUS PROCESSOS'!O79="Médio",Sug_Medio,IF('MEUS PROCESSOS'!O79="Baixo",Sug_Baixo,""))))</f>
        <v/>
      </c>
      <c r="AH79" s="15" t="str">
        <f aca="false">IF(B79="","",IF(AND(AB79&lt;&gt;"",AC79&lt;&gt;""),"Avaliado pela empresa",IF(AND(AB79="",AC79="",'MEUS PROCESSOS'!N79&lt;&gt;""),"Sugestão da biblioteca",IF('MEUS PROCESSOS'!N79&lt;&gt;"","Parcialmente sugerido",IF(AND(AB79="",AC79=""),"","Avaliado pela empresa")))))</f>
        <v/>
      </c>
      <c r="AI79" s="18" t="str">
        <f aca="false">IF(B79="","",IF(AND((COUNTBLANK(X79:AA79)+COUNTBLANK(AD79:AE79)+(AF79="")*1+(AG79="")*1)=0,W79&lt;&gt;""),"Completo","Incompleto — faltam "&amp;IF((COUNTBLANK(X79:AA79)+COUNTBLANK(AD79:AE79)+(AF79="")*1+(AG79="")*1)&gt;0,(COUNTBLANK(X79:AA79)+COUNTBLANK(AD79:AE79)+(AF79="")*1+(AG79="")*1)&amp;IF((COUNTBLANK(X79:AA79)+COUNTBLANK(AD79:AE79)+(AF79="")*1+(AG79="")*1)=1," avaliação"," avaliações"),"")&amp;IF(AND((COUNTBLANK(X79:AA79)+COUNTBLANK(AD79:AE79)+(AF79="")*1+(AG79="")*1)&gt;0,W79=""), " e ","")&amp;IF(W79="","os dados de custo","")))</f>
        <v/>
      </c>
      <c r="AJ79" s="29" t="str">
        <f aca="false">IF($AI79&lt;&gt;"Completo","",W_Custo*(W79-1)/4+W_Imp*(X79-1)/4)</f>
        <v/>
      </c>
      <c r="AK79" s="29" t="str">
        <f aca="false">IF($AI79&lt;&gt;"Completo","",W_Pot*(MAX(AF79,AG79)-1)/4+W_Rep*(Y79-1)/4+W_Pad*(Z79-1)/4+W_Vol*(AA79-1)/4)</f>
        <v/>
      </c>
      <c r="AL79" s="29" t="str">
        <f aca="false">IF($AI79&lt;&gt;"Completo","",(1-F_Pen*(AE79-1)/4)*(1-F_Pen*(AD79-1)/4))</f>
        <v/>
      </c>
      <c r="AM79" s="29" t="str">
        <f aca="false">IF($AI79&lt;&gt;"Completo","",SQRT(AK79*AL79))</f>
        <v/>
      </c>
      <c r="AN79" s="30" t="str">
        <f aca="false">IF($AI79&lt;&gt;"Completo","",100*AJ79^Exp_V*AM79^Exp_Vb)</f>
        <v/>
      </c>
      <c r="AO79" s="15" t="str">
        <f aca="false">IF(AN79="","",IF(AJ79&gt;=Corte,IF(AM79&gt;=Corte,"Fazer primeiro","Projeto estratégico"),IF(AM79&gt;=Corte,"Quick win","Evitar")))</f>
        <v/>
      </c>
      <c r="AP79" s="15" t="str">
        <f aca="false">IF(AN79="","",IF(OR(AD79&gt;=Trava_Nota,AE79&gt;=Trava_Nota),"SIM","—"))</f>
        <v/>
      </c>
      <c r="AQ79" s="15" t="str">
        <f aca="false">IF(AN79="","",IF(MAX(AF79,AG79)&lt;=Rota_Nota,"SIM","—"))</f>
        <v/>
      </c>
      <c r="AR79" s="15" t="str">
        <f aca="false">IF(AN79="","",IF(Z79&lt;=Rota_Nota,"SIM","—"))</f>
        <v/>
      </c>
      <c r="AS79" s="15" t="str">
        <f aca="false">IF(AN79="","",IF(AP79="SIM",IF(AJ79&gt;=Corte,"Projeto estratégico","Evitar"),AO79))</f>
        <v/>
      </c>
      <c r="AT79" s="15" t="str">
        <f aca="false">IF(AN79="","",IF(OR(AND(AJ79&gt;=Fr_Min,AJ79&lt;=Fr_Max),AND(AM79&gt;=Fr_Min,AM79&lt;=Fr_Max)),"Revisar",""))</f>
        <v/>
      </c>
      <c r="AU79" s="15" t="str">
        <f aca="false">IF(BE79="","",COUNTIF($BE$6:$BE$105,"&gt;"&amp;BE79)+1)</f>
        <v/>
      </c>
      <c r="AV79" s="16"/>
      <c r="AW79" s="15" t="str">
        <f aca="false">IF(B79="","",IF(AV79&lt;&gt;"",AV79,'MEUS PROCESSOS'!M79))</f>
        <v/>
      </c>
      <c r="AX79" s="23"/>
      <c r="AY79" s="31" t="str">
        <f aca="false">IF(AW79="","",IF(AX79&lt;&gt;"",AX79,IF(AW79="S",Red_S,IF(AW79="P",Red_P,IF(AW79="A",Red_A,IF(AW79="IA",Red_IA,""))))))</f>
        <v/>
      </c>
      <c r="AZ79" s="27" t="str">
        <f aca="false">IF(OR(V79="",AY79=""),"",(T79+U79)*AY79)</f>
        <v/>
      </c>
      <c r="BA79" s="27" t="str">
        <f aca="false">IF(OR(V79="",AY79=""),"",(R79+S79)*AY79)</f>
        <v/>
      </c>
      <c r="BB79" s="27" t="str">
        <f aca="false">IF(AZ79="","",AZ79+BA79)</f>
        <v/>
      </c>
      <c r="BC79" s="27" t="str">
        <f aca="false">IF(OR(P79="",AY79=""),"",(P79*(1+N(J79))+N(M79))*12*AY79)</f>
        <v/>
      </c>
      <c r="BD79" s="18" t="str">
        <f aca="false">IF(B79="","",IF(AND(AW79="E",AX79=""),"Eliminar: informe quanto do esforço atual deixa de existir (0% a 100%). Não há percentual inicial sugerido.",IF(AND(AX79="",AY79&lt;&gt;""),"Redução pela faixa inicial para simulação","")))</f>
        <v/>
      </c>
      <c r="BE79" s="19" t="str">
        <f aca="false">IF(AND(AN79&lt;&gt;"",D79=1),AN79+(1000-A79)/1000000,"")</f>
        <v/>
      </c>
    </row>
    <row r="80" customFormat="false" ht="15" hidden="false" customHeight="false" outlineLevel="0" collapsed="false">
      <c r="A80" s="15" t="n">
        <v>75</v>
      </c>
      <c r="B80" s="18" t="str">
        <f aca="false">IF('MEUS PROCESSOS'!J80="","",'MEUS PROCESSOS'!J80)</f>
        <v/>
      </c>
      <c r="C80" s="15" t="str">
        <f aca="false">IF('MEUS PROCESSOS'!K80="","",'MEUS PROCESSOS'!K80)</f>
        <v/>
      </c>
      <c r="D80" s="19" t="n">
        <f aca="false">'MEUS PROCESSOS'!Q80</f>
        <v>0</v>
      </c>
      <c r="E80" s="16"/>
      <c r="F80" s="16"/>
      <c r="G80" s="16"/>
      <c r="H80" s="16"/>
      <c r="I80" s="22"/>
      <c r="J80" s="23"/>
      <c r="K80" s="16"/>
      <c r="L80" s="24"/>
      <c r="M80" s="16"/>
      <c r="N80" s="24"/>
      <c r="O80" s="25" t="str">
        <f aca="false">IF(OR(E80="",F80=""),"",F80*IF(E80="Diária",Mult_Diaria,IF(E80="Semanal",Mult_Semanal,1)))</f>
        <v/>
      </c>
      <c r="P80" s="25" t="str">
        <f aca="false">IF(OR(O80="",G80="",H80=""),"",O80*G80/60*H80)</f>
        <v/>
      </c>
      <c r="Q80" s="26" t="str">
        <f aca="false">IF(I80&lt;&gt;"",I80,IF(Custo_Hora_Padrao&lt;&gt;"",Custo_Hora_Padrao,""))</f>
        <v/>
      </c>
      <c r="R80" s="27" t="str">
        <f aca="false">IF(OR(P80="",Q80=""),"",P80*Q80*12)</f>
        <v/>
      </c>
      <c r="S80" s="27" t="str">
        <f aca="false">IF(R80="","",R80*N(J80))</f>
        <v/>
      </c>
      <c r="T80" s="27" t="str">
        <f aca="false">IF(R80="","",N(K80)*N(L80)*12)</f>
        <v/>
      </c>
      <c r="U80" s="27" t="str">
        <f aca="false">IF(R80="","",(N(M80)*Q80*HE_Fator+N(N80))*12)</f>
        <v/>
      </c>
      <c r="V80" s="28" t="str">
        <f aca="false">IF(R80="","",R80+S80+T80+U80)</f>
        <v/>
      </c>
      <c r="W80" s="15" t="str">
        <f aca="false">IF(V80="","",IF(V80&lt;=Faixa_1,1,IF(V80&lt;=Faixa_2,2,IF(V80&lt;=Faixa_3,3,IF(V80&lt;=Faixa_4,4,5)))))</f>
        <v/>
      </c>
      <c r="X80" s="16"/>
      <c r="Y80" s="16"/>
      <c r="Z80" s="16"/>
      <c r="AA80" s="16"/>
      <c r="AB80" s="16"/>
      <c r="AC80" s="16"/>
      <c r="AD80" s="16"/>
      <c r="AE80" s="16"/>
      <c r="AF80" s="15" t="str">
        <f aca="false">IF(AB80&lt;&gt;"",AB80,IF('MEUS PROCESSOS'!N80="Alto",Sug_Alto,IF('MEUS PROCESSOS'!N80="Médio",Sug_Medio,IF('MEUS PROCESSOS'!N80="Baixo",Sug_Baixo,""))))</f>
        <v/>
      </c>
      <c r="AG80" s="15" t="str">
        <f aca="false">IF(AC80&lt;&gt;"",AC80,IF('MEUS PROCESSOS'!O80="Alto",Sug_Alto,IF('MEUS PROCESSOS'!O80="Médio",Sug_Medio,IF('MEUS PROCESSOS'!O80="Baixo",Sug_Baixo,""))))</f>
        <v/>
      </c>
      <c r="AH80" s="15" t="str">
        <f aca="false">IF(B80="","",IF(AND(AB80&lt;&gt;"",AC80&lt;&gt;""),"Avaliado pela empresa",IF(AND(AB80="",AC80="",'MEUS PROCESSOS'!N80&lt;&gt;""),"Sugestão da biblioteca",IF('MEUS PROCESSOS'!N80&lt;&gt;"","Parcialmente sugerido",IF(AND(AB80="",AC80=""),"","Avaliado pela empresa")))))</f>
        <v/>
      </c>
      <c r="AI80" s="18" t="str">
        <f aca="false">IF(B80="","",IF(AND((COUNTBLANK(X80:AA80)+COUNTBLANK(AD80:AE80)+(AF80="")*1+(AG80="")*1)=0,W80&lt;&gt;""),"Completo","Incompleto — faltam "&amp;IF((COUNTBLANK(X80:AA80)+COUNTBLANK(AD80:AE80)+(AF80="")*1+(AG80="")*1)&gt;0,(COUNTBLANK(X80:AA80)+COUNTBLANK(AD80:AE80)+(AF80="")*1+(AG80="")*1)&amp;IF((COUNTBLANK(X80:AA80)+COUNTBLANK(AD80:AE80)+(AF80="")*1+(AG80="")*1)=1," avaliação"," avaliações"),"")&amp;IF(AND((COUNTBLANK(X80:AA80)+COUNTBLANK(AD80:AE80)+(AF80="")*1+(AG80="")*1)&gt;0,W80=""), " e ","")&amp;IF(W80="","os dados de custo","")))</f>
        <v/>
      </c>
      <c r="AJ80" s="29" t="str">
        <f aca="false">IF($AI80&lt;&gt;"Completo","",W_Custo*(W80-1)/4+W_Imp*(X80-1)/4)</f>
        <v/>
      </c>
      <c r="AK80" s="29" t="str">
        <f aca="false">IF($AI80&lt;&gt;"Completo","",W_Pot*(MAX(AF80,AG80)-1)/4+W_Rep*(Y80-1)/4+W_Pad*(Z80-1)/4+W_Vol*(AA80-1)/4)</f>
        <v/>
      </c>
      <c r="AL80" s="29" t="str">
        <f aca="false">IF($AI80&lt;&gt;"Completo","",(1-F_Pen*(AE80-1)/4)*(1-F_Pen*(AD80-1)/4))</f>
        <v/>
      </c>
      <c r="AM80" s="29" t="str">
        <f aca="false">IF($AI80&lt;&gt;"Completo","",SQRT(AK80*AL80))</f>
        <v/>
      </c>
      <c r="AN80" s="30" t="str">
        <f aca="false">IF($AI80&lt;&gt;"Completo","",100*AJ80^Exp_V*AM80^Exp_Vb)</f>
        <v/>
      </c>
      <c r="AO80" s="15" t="str">
        <f aca="false">IF(AN80="","",IF(AJ80&gt;=Corte,IF(AM80&gt;=Corte,"Fazer primeiro","Projeto estratégico"),IF(AM80&gt;=Corte,"Quick win","Evitar")))</f>
        <v/>
      </c>
      <c r="AP80" s="15" t="str">
        <f aca="false">IF(AN80="","",IF(OR(AD80&gt;=Trava_Nota,AE80&gt;=Trava_Nota),"SIM","—"))</f>
        <v/>
      </c>
      <c r="AQ80" s="15" t="str">
        <f aca="false">IF(AN80="","",IF(MAX(AF80,AG80)&lt;=Rota_Nota,"SIM","—"))</f>
        <v/>
      </c>
      <c r="AR80" s="15" t="str">
        <f aca="false">IF(AN80="","",IF(Z80&lt;=Rota_Nota,"SIM","—"))</f>
        <v/>
      </c>
      <c r="AS80" s="15" t="str">
        <f aca="false">IF(AN80="","",IF(AP80="SIM",IF(AJ80&gt;=Corte,"Projeto estratégico","Evitar"),AO80))</f>
        <v/>
      </c>
      <c r="AT80" s="15" t="str">
        <f aca="false">IF(AN80="","",IF(OR(AND(AJ80&gt;=Fr_Min,AJ80&lt;=Fr_Max),AND(AM80&gt;=Fr_Min,AM80&lt;=Fr_Max)),"Revisar",""))</f>
        <v/>
      </c>
      <c r="AU80" s="15" t="str">
        <f aca="false">IF(BE80="","",COUNTIF($BE$6:$BE$105,"&gt;"&amp;BE80)+1)</f>
        <v/>
      </c>
      <c r="AV80" s="16"/>
      <c r="AW80" s="15" t="str">
        <f aca="false">IF(B80="","",IF(AV80&lt;&gt;"",AV80,'MEUS PROCESSOS'!M80))</f>
        <v/>
      </c>
      <c r="AX80" s="23"/>
      <c r="AY80" s="31" t="str">
        <f aca="false">IF(AW80="","",IF(AX80&lt;&gt;"",AX80,IF(AW80="S",Red_S,IF(AW80="P",Red_P,IF(AW80="A",Red_A,IF(AW80="IA",Red_IA,""))))))</f>
        <v/>
      </c>
      <c r="AZ80" s="27" t="str">
        <f aca="false">IF(OR(V80="",AY80=""),"",(T80+U80)*AY80)</f>
        <v/>
      </c>
      <c r="BA80" s="27" t="str">
        <f aca="false">IF(OR(V80="",AY80=""),"",(R80+S80)*AY80)</f>
        <v/>
      </c>
      <c r="BB80" s="27" t="str">
        <f aca="false">IF(AZ80="","",AZ80+BA80)</f>
        <v/>
      </c>
      <c r="BC80" s="27" t="str">
        <f aca="false">IF(OR(P80="",AY80=""),"",(P80*(1+N(J80))+N(M80))*12*AY80)</f>
        <v/>
      </c>
      <c r="BD80" s="18" t="str">
        <f aca="false">IF(B80="","",IF(AND(AW80="E",AX80=""),"Eliminar: informe quanto do esforço atual deixa de existir (0% a 100%). Não há percentual inicial sugerido.",IF(AND(AX80="",AY80&lt;&gt;""),"Redução pela faixa inicial para simulação","")))</f>
        <v/>
      </c>
      <c r="BE80" s="19" t="str">
        <f aca="false">IF(AND(AN80&lt;&gt;"",D80=1),AN80+(1000-A80)/1000000,"")</f>
        <v/>
      </c>
    </row>
    <row r="81" customFormat="false" ht="15" hidden="false" customHeight="false" outlineLevel="0" collapsed="false">
      <c r="A81" s="15" t="n">
        <v>76</v>
      </c>
      <c r="B81" s="18" t="str">
        <f aca="false">IF('MEUS PROCESSOS'!J81="","",'MEUS PROCESSOS'!J81)</f>
        <v/>
      </c>
      <c r="C81" s="15" t="str">
        <f aca="false">IF('MEUS PROCESSOS'!K81="","",'MEUS PROCESSOS'!K81)</f>
        <v/>
      </c>
      <c r="D81" s="19" t="n">
        <f aca="false">'MEUS PROCESSOS'!Q81</f>
        <v>0</v>
      </c>
      <c r="E81" s="16"/>
      <c r="F81" s="16"/>
      <c r="G81" s="16"/>
      <c r="H81" s="16"/>
      <c r="I81" s="22"/>
      <c r="J81" s="23"/>
      <c r="K81" s="16"/>
      <c r="L81" s="24"/>
      <c r="M81" s="16"/>
      <c r="N81" s="24"/>
      <c r="O81" s="25" t="str">
        <f aca="false">IF(OR(E81="",F81=""),"",F81*IF(E81="Diária",Mult_Diaria,IF(E81="Semanal",Mult_Semanal,1)))</f>
        <v/>
      </c>
      <c r="P81" s="25" t="str">
        <f aca="false">IF(OR(O81="",G81="",H81=""),"",O81*G81/60*H81)</f>
        <v/>
      </c>
      <c r="Q81" s="26" t="str">
        <f aca="false">IF(I81&lt;&gt;"",I81,IF(Custo_Hora_Padrao&lt;&gt;"",Custo_Hora_Padrao,""))</f>
        <v/>
      </c>
      <c r="R81" s="27" t="str">
        <f aca="false">IF(OR(P81="",Q81=""),"",P81*Q81*12)</f>
        <v/>
      </c>
      <c r="S81" s="27" t="str">
        <f aca="false">IF(R81="","",R81*N(J81))</f>
        <v/>
      </c>
      <c r="T81" s="27" t="str">
        <f aca="false">IF(R81="","",N(K81)*N(L81)*12)</f>
        <v/>
      </c>
      <c r="U81" s="27" t="str">
        <f aca="false">IF(R81="","",(N(M81)*Q81*HE_Fator+N(N81))*12)</f>
        <v/>
      </c>
      <c r="V81" s="28" t="str">
        <f aca="false">IF(R81="","",R81+S81+T81+U81)</f>
        <v/>
      </c>
      <c r="W81" s="15" t="str">
        <f aca="false">IF(V81="","",IF(V81&lt;=Faixa_1,1,IF(V81&lt;=Faixa_2,2,IF(V81&lt;=Faixa_3,3,IF(V81&lt;=Faixa_4,4,5)))))</f>
        <v/>
      </c>
      <c r="X81" s="16"/>
      <c r="Y81" s="16"/>
      <c r="Z81" s="16"/>
      <c r="AA81" s="16"/>
      <c r="AB81" s="16"/>
      <c r="AC81" s="16"/>
      <c r="AD81" s="16"/>
      <c r="AE81" s="16"/>
      <c r="AF81" s="15" t="str">
        <f aca="false">IF(AB81&lt;&gt;"",AB81,IF('MEUS PROCESSOS'!N81="Alto",Sug_Alto,IF('MEUS PROCESSOS'!N81="Médio",Sug_Medio,IF('MEUS PROCESSOS'!N81="Baixo",Sug_Baixo,""))))</f>
        <v/>
      </c>
      <c r="AG81" s="15" t="str">
        <f aca="false">IF(AC81&lt;&gt;"",AC81,IF('MEUS PROCESSOS'!O81="Alto",Sug_Alto,IF('MEUS PROCESSOS'!O81="Médio",Sug_Medio,IF('MEUS PROCESSOS'!O81="Baixo",Sug_Baixo,""))))</f>
        <v/>
      </c>
      <c r="AH81" s="15" t="str">
        <f aca="false">IF(B81="","",IF(AND(AB81&lt;&gt;"",AC81&lt;&gt;""),"Avaliado pela empresa",IF(AND(AB81="",AC81="",'MEUS PROCESSOS'!N81&lt;&gt;""),"Sugestão da biblioteca",IF('MEUS PROCESSOS'!N81&lt;&gt;"","Parcialmente sugerido",IF(AND(AB81="",AC81=""),"","Avaliado pela empresa")))))</f>
        <v/>
      </c>
      <c r="AI81" s="18" t="str">
        <f aca="false">IF(B81="","",IF(AND((COUNTBLANK(X81:AA81)+COUNTBLANK(AD81:AE81)+(AF81="")*1+(AG81="")*1)=0,W81&lt;&gt;""),"Completo","Incompleto — faltam "&amp;IF((COUNTBLANK(X81:AA81)+COUNTBLANK(AD81:AE81)+(AF81="")*1+(AG81="")*1)&gt;0,(COUNTBLANK(X81:AA81)+COUNTBLANK(AD81:AE81)+(AF81="")*1+(AG81="")*1)&amp;IF((COUNTBLANK(X81:AA81)+COUNTBLANK(AD81:AE81)+(AF81="")*1+(AG81="")*1)=1," avaliação"," avaliações"),"")&amp;IF(AND((COUNTBLANK(X81:AA81)+COUNTBLANK(AD81:AE81)+(AF81="")*1+(AG81="")*1)&gt;0,W81=""), " e ","")&amp;IF(W81="","os dados de custo","")))</f>
        <v/>
      </c>
      <c r="AJ81" s="29" t="str">
        <f aca="false">IF($AI81&lt;&gt;"Completo","",W_Custo*(W81-1)/4+W_Imp*(X81-1)/4)</f>
        <v/>
      </c>
      <c r="AK81" s="29" t="str">
        <f aca="false">IF($AI81&lt;&gt;"Completo","",W_Pot*(MAX(AF81,AG81)-1)/4+W_Rep*(Y81-1)/4+W_Pad*(Z81-1)/4+W_Vol*(AA81-1)/4)</f>
        <v/>
      </c>
      <c r="AL81" s="29" t="str">
        <f aca="false">IF($AI81&lt;&gt;"Completo","",(1-F_Pen*(AE81-1)/4)*(1-F_Pen*(AD81-1)/4))</f>
        <v/>
      </c>
      <c r="AM81" s="29" t="str">
        <f aca="false">IF($AI81&lt;&gt;"Completo","",SQRT(AK81*AL81))</f>
        <v/>
      </c>
      <c r="AN81" s="30" t="str">
        <f aca="false">IF($AI81&lt;&gt;"Completo","",100*AJ81^Exp_V*AM81^Exp_Vb)</f>
        <v/>
      </c>
      <c r="AO81" s="15" t="str">
        <f aca="false">IF(AN81="","",IF(AJ81&gt;=Corte,IF(AM81&gt;=Corte,"Fazer primeiro","Projeto estratégico"),IF(AM81&gt;=Corte,"Quick win","Evitar")))</f>
        <v/>
      </c>
      <c r="AP81" s="15" t="str">
        <f aca="false">IF(AN81="","",IF(OR(AD81&gt;=Trava_Nota,AE81&gt;=Trava_Nota),"SIM","—"))</f>
        <v/>
      </c>
      <c r="AQ81" s="15" t="str">
        <f aca="false">IF(AN81="","",IF(MAX(AF81,AG81)&lt;=Rota_Nota,"SIM","—"))</f>
        <v/>
      </c>
      <c r="AR81" s="15" t="str">
        <f aca="false">IF(AN81="","",IF(Z81&lt;=Rota_Nota,"SIM","—"))</f>
        <v/>
      </c>
      <c r="AS81" s="15" t="str">
        <f aca="false">IF(AN81="","",IF(AP81="SIM",IF(AJ81&gt;=Corte,"Projeto estratégico","Evitar"),AO81))</f>
        <v/>
      </c>
      <c r="AT81" s="15" t="str">
        <f aca="false">IF(AN81="","",IF(OR(AND(AJ81&gt;=Fr_Min,AJ81&lt;=Fr_Max),AND(AM81&gt;=Fr_Min,AM81&lt;=Fr_Max)),"Revisar",""))</f>
        <v/>
      </c>
      <c r="AU81" s="15" t="str">
        <f aca="false">IF(BE81="","",COUNTIF($BE$6:$BE$105,"&gt;"&amp;BE81)+1)</f>
        <v/>
      </c>
      <c r="AV81" s="16"/>
      <c r="AW81" s="15" t="str">
        <f aca="false">IF(B81="","",IF(AV81&lt;&gt;"",AV81,'MEUS PROCESSOS'!M81))</f>
        <v/>
      </c>
      <c r="AX81" s="23"/>
      <c r="AY81" s="31" t="str">
        <f aca="false">IF(AW81="","",IF(AX81&lt;&gt;"",AX81,IF(AW81="S",Red_S,IF(AW81="P",Red_P,IF(AW81="A",Red_A,IF(AW81="IA",Red_IA,""))))))</f>
        <v/>
      </c>
      <c r="AZ81" s="27" t="str">
        <f aca="false">IF(OR(V81="",AY81=""),"",(T81+U81)*AY81)</f>
        <v/>
      </c>
      <c r="BA81" s="27" t="str">
        <f aca="false">IF(OR(V81="",AY81=""),"",(R81+S81)*AY81)</f>
        <v/>
      </c>
      <c r="BB81" s="27" t="str">
        <f aca="false">IF(AZ81="","",AZ81+BA81)</f>
        <v/>
      </c>
      <c r="BC81" s="27" t="str">
        <f aca="false">IF(OR(P81="",AY81=""),"",(P81*(1+N(J81))+N(M81))*12*AY81)</f>
        <v/>
      </c>
      <c r="BD81" s="18" t="str">
        <f aca="false">IF(B81="","",IF(AND(AW81="E",AX81=""),"Eliminar: informe quanto do esforço atual deixa de existir (0% a 100%). Não há percentual inicial sugerido.",IF(AND(AX81="",AY81&lt;&gt;""),"Redução pela faixa inicial para simulação","")))</f>
        <v/>
      </c>
      <c r="BE81" s="19" t="str">
        <f aca="false">IF(AND(AN81&lt;&gt;"",D81=1),AN81+(1000-A81)/1000000,"")</f>
        <v/>
      </c>
    </row>
    <row r="82" customFormat="false" ht="15" hidden="false" customHeight="false" outlineLevel="0" collapsed="false">
      <c r="A82" s="15" t="n">
        <v>77</v>
      </c>
      <c r="B82" s="18" t="str">
        <f aca="false">IF('MEUS PROCESSOS'!J82="","",'MEUS PROCESSOS'!J82)</f>
        <v/>
      </c>
      <c r="C82" s="15" t="str">
        <f aca="false">IF('MEUS PROCESSOS'!K82="","",'MEUS PROCESSOS'!K82)</f>
        <v/>
      </c>
      <c r="D82" s="19" t="n">
        <f aca="false">'MEUS PROCESSOS'!Q82</f>
        <v>0</v>
      </c>
      <c r="E82" s="16"/>
      <c r="F82" s="16"/>
      <c r="G82" s="16"/>
      <c r="H82" s="16"/>
      <c r="I82" s="22"/>
      <c r="J82" s="23"/>
      <c r="K82" s="16"/>
      <c r="L82" s="24"/>
      <c r="M82" s="16"/>
      <c r="N82" s="24"/>
      <c r="O82" s="25" t="str">
        <f aca="false">IF(OR(E82="",F82=""),"",F82*IF(E82="Diária",Mult_Diaria,IF(E82="Semanal",Mult_Semanal,1)))</f>
        <v/>
      </c>
      <c r="P82" s="25" t="str">
        <f aca="false">IF(OR(O82="",G82="",H82=""),"",O82*G82/60*H82)</f>
        <v/>
      </c>
      <c r="Q82" s="26" t="str">
        <f aca="false">IF(I82&lt;&gt;"",I82,IF(Custo_Hora_Padrao&lt;&gt;"",Custo_Hora_Padrao,""))</f>
        <v/>
      </c>
      <c r="R82" s="27" t="str">
        <f aca="false">IF(OR(P82="",Q82=""),"",P82*Q82*12)</f>
        <v/>
      </c>
      <c r="S82" s="27" t="str">
        <f aca="false">IF(R82="","",R82*N(J82))</f>
        <v/>
      </c>
      <c r="T82" s="27" t="str">
        <f aca="false">IF(R82="","",N(K82)*N(L82)*12)</f>
        <v/>
      </c>
      <c r="U82" s="27" t="str">
        <f aca="false">IF(R82="","",(N(M82)*Q82*HE_Fator+N(N82))*12)</f>
        <v/>
      </c>
      <c r="V82" s="28" t="str">
        <f aca="false">IF(R82="","",R82+S82+T82+U82)</f>
        <v/>
      </c>
      <c r="W82" s="15" t="str">
        <f aca="false">IF(V82="","",IF(V82&lt;=Faixa_1,1,IF(V82&lt;=Faixa_2,2,IF(V82&lt;=Faixa_3,3,IF(V82&lt;=Faixa_4,4,5)))))</f>
        <v/>
      </c>
      <c r="X82" s="16"/>
      <c r="Y82" s="16"/>
      <c r="Z82" s="16"/>
      <c r="AA82" s="16"/>
      <c r="AB82" s="16"/>
      <c r="AC82" s="16"/>
      <c r="AD82" s="16"/>
      <c r="AE82" s="16"/>
      <c r="AF82" s="15" t="str">
        <f aca="false">IF(AB82&lt;&gt;"",AB82,IF('MEUS PROCESSOS'!N82="Alto",Sug_Alto,IF('MEUS PROCESSOS'!N82="Médio",Sug_Medio,IF('MEUS PROCESSOS'!N82="Baixo",Sug_Baixo,""))))</f>
        <v/>
      </c>
      <c r="AG82" s="15" t="str">
        <f aca="false">IF(AC82&lt;&gt;"",AC82,IF('MEUS PROCESSOS'!O82="Alto",Sug_Alto,IF('MEUS PROCESSOS'!O82="Médio",Sug_Medio,IF('MEUS PROCESSOS'!O82="Baixo",Sug_Baixo,""))))</f>
        <v/>
      </c>
      <c r="AH82" s="15" t="str">
        <f aca="false">IF(B82="","",IF(AND(AB82&lt;&gt;"",AC82&lt;&gt;""),"Avaliado pela empresa",IF(AND(AB82="",AC82="",'MEUS PROCESSOS'!N82&lt;&gt;""),"Sugestão da biblioteca",IF('MEUS PROCESSOS'!N82&lt;&gt;"","Parcialmente sugerido",IF(AND(AB82="",AC82=""),"","Avaliado pela empresa")))))</f>
        <v/>
      </c>
      <c r="AI82" s="18" t="str">
        <f aca="false">IF(B82="","",IF(AND((COUNTBLANK(X82:AA82)+COUNTBLANK(AD82:AE82)+(AF82="")*1+(AG82="")*1)=0,W82&lt;&gt;""),"Completo","Incompleto — faltam "&amp;IF((COUNTBLANK(X82:AA82)+COUNTBLANK(AD82:AE82)+(AF82="")*1+(AG82="")*1)&gt;0,(COUNTBLANK(X82:AA82)+COUNTBLANK(AD82:AE82)+(AF82="")*1+(AG82="")*1)&amp;IF((COUNTBLANK(X82:AA82)+COUNTBLANK(AD82:AE82)+(AF82="")*1+(AG82="")*1)=1," avaliação"," avaliações"),"")&amp;IF(AND((COUNTBLANK(X82:AA82)+COUNTBLANK(AD82:AE82)+(AF82="")*1+(AG82="")*1)&gt;0,W82=""), " e ","")&amp;IF(W82="","os dados de custo","")))</f>
        <v/>
      </c>
      <c r="AJ82" s="29" t="str">
        <f aca="false">IF($AI82&lt;&gt;"Completo","",W_Custo*(W82-1)/4+W_Imp*(X82-1)/4)</f>
        <v/>
      </c>
      <c r="AK82" s="29" t="str">
        <f aca="false">IF($AI82&lt;&gt;"Completo","",W_Pot*(MAX(AF82,AG82)-1)/4+W_Rep*(Y82-1)/4+W_Pad*(Z82-1)/4+W_Vol*(AA82-1)/4)</f>
        <v/>
      </c>
      <c r="AL82" s="29" t="str">
        <f aca="false">IF($AI82&lt;&gt;"Completo","",(1-F_Pen*(AE82-1)/4)*(1-F_Pen*(AD82-1)/4))</f>
        <v/>
      </c>
      <c r="AM82" s="29" t="str">
        <f aca="false">IF($AI82&lt;&gt;"Completo","",SQRT(AK82*AL82))</f>
        <v/>
      </c>
      <c r="AN82" s="30" t="str">
        <f aca="false">IF($AI82&lt;&gt;"Completo","",100*AJ82^Exp_V*AM82^Exp_Vb)</f>
        <v/>
      </c>
      <c r="AO82" s="15" t="str">
        <f aca="false">IF(AN82="","",IF(AJ82&gt;=Corte,IF(AM82&gt;=Corte,"Fazer primeiro","Projeto estratégico"),IF(AM82&gt;=Corte,"Quick win","Evitar")))</f>
        <v/>
      </c>
      <c r="AP82" s="15" t="str">
        <f aca="false">IF(AN82="","",IF(OR(AD82&gt;=Trava_Nota,AE82&gt;=Trava_Nota),"SIM","—"))</f>
        <v/>
      </c>
      <c r="AQ82" s="15" t="str">
        <f aca="false">IF(AN82="","",IF(MAX(AF82,AG82)&lt;=Rota_Nota,"SIM","—"))</f>
        <v/>
      </c>
      <c r="AR82" s="15" t="str">
        <f aca="false">IF(AN82="","",IF(Z82&lt;=Rota_Nota,"SIM","—"))</f>
        <v/>
      </c>
      <c r="AS82" s="15" t="str">
        <f aca="false">IF(AN82="","",IF(AP82="SIM",IF(AJ82&gt;=Corte,"Projeto estratégico","Evitar"),AO82))</f>
        <v/>
      </c>
      <c r="AT82" s="15" t="str">
        <f aca="false">IF(AN82="","",IF(OR(AND(AJ82&gt;=Fr_Min,AJ82&lt;=Fr_Max),AND(AM82&gt;=Fr_Min,AM82&lt;=Fr_Max)),"Revisar",""))</f>
        <v/>
      </c>
      <c r="AU82" s="15" t="str">
        <f aca="false">IF(BE82="","",COUNTIF($BE$6:$BE$105,"&gt;"&amp;BE82)+1)</f>
        <v/>
      </c>
      <c r="AV82" s="16"/>
      <c r="AW82" s="15" t="str">
        <f aca="false">IF(B82="","",IF(AV82&lt;&gt;"",AV82,'MEUS PROCESSOS'!M82))</f>
        <v/>
      </c>
      <c r="AX82" s="23"/>
      <c r="AY82" s="31" t="str">
        <f aca="false">IF(AW82="","",IF(AX82&lt;&gt;"",AX82,IF(AW82="S",Red_S,IF(AW82="P",Red_P,IF(AW82="A",Red_A,IF(AW82="IA",Red_IA,""))))))</f>
        <v/>
      </c>
      <c r="AZ82" s="27" t="str">
        <f aca="false">IF(OR(V82="",AY82=""),"",(T82+U82)*AY82)</f>
        <v/>
      </c>
      <c r="BA82" s="27" t="str">
        <f aca="false">IF(OR(V82="",AY82=""),"",(R82+S82)*AY82)</f>
        <v/>
      </c>
      <c r="BB82" s="27" t="str">
        <f aca="false">IF(AZ82="","",AZ82+BA82)</f>
        <v/>
      </c>
      <c r="BC82" s="27" t="str">
        <f aca="false">IF(OR(P82="",AY82=""),"",(P82*(1+N(J82))+N(M82))*12*AY82)</f>
        <v/>
      </c>
      <c r="BD82" s="18" t="str">
        <f aca="false">IF(B82="","",IF(AND(AW82="E",AX82=""),"Eliminar: informe quanto do esforço atual deixa de existir (0% a 100%). Não há percentual inicial sugerido.",IF(AND(AX82="",AY82&lt;&gt;""),"Redução pela faixa inicial para simulação","")))</f>
        <v/>
      </c>
      <c r="BE82" s="19" t="str">
        <f aca="false">IF(AND(AN82&lt;&gt;"",D82=1),AN82+(1000-A82)/1000000,"")</f>
        <v/>
      </c>
    </row>
    <row r="83" customFormat="false" ht="15" hidden="false" customHeight="false" outlineLevel="0" collapsed="false">
      <c r="A83" s="15" t="n">
        <v>78</v>
      </c>
      <c r="B83" s="18" t="str">
        <f aca="false">IF('MEUS PROCESSOS'!J83="","",'MEUS PROCESSOS'!J83)</f>
        <v/>
      </c>
      <c r="C83" s="15" t="str">
        <f aca="false">IF('MEUS PROCESSOS'!K83="","",'MEUS PROCESSOS'!K83)</f>
        <v/>
      </c>
      <c r="D83" s="19" t="n">
        <f aca="false">'MEUS PROCESSOS'!Q83</f>
        <v>0</v>
      </c>
      <c r="E83" s="16"/>
      <c r="F83" s="16"/>
      <c r="G83" s="16"/>
      <c r="H83" s="16"/>
      <c r="I83" s="22"/>
      <c r="J83" s="23"/>
      <c r="K83" s="16"/>
      <c r="L83" s="24"/>
      <c r="M83" s="16"/>
      <c r="N83" s="24"/>
      <c r="O83" s="25" t="str">
        <f aca="false">IF(OR(E83="",F83=""),"",F83*IF(E83="Diária",Mult_Diaria,IF(E83="Semanal",Mult_Semanal,1)))</f>
        <v/>
      </c>
      <c r="P83" s="25" t="str">
        <f aca="false">IF(OR(O83="",G83="",H83=""),"",O83*G83/60*H83)</f>
        <v/>
      </c>
      <c r="Q83" s="26" t="str">
        <f aca="false">IF(I83&lt;&gt;"",I83,IF(Custo_Hora_Padrao&lt;&gt;"",Custo_Hora_Padrao,""))</f>
        <v/>
      </c>
      <c r="R83" s="27" t="str">
        <f aca="false">IF(OR(P83="",Q83=""),"",P83*Q83*12)</f>
        <v/>
      </c>
      <c r="S83" s="27" t="str">
        <f aca="false">IF(R83="","",R83*N(J83))</f>
        <v/>
      </c>
      <c r="T83" s="27" t="str">
        <f aca="false">IF(R83="","",N(K83)*N(L83)*12)</f>
        <v/>
      </c>
      <c r="U83" s="27" t="str">
        <f aca="false">IF(R83="","",(N(M83)*Q83*HE_Fator+N(N83))*12)</f>
        <v/>
      </c>
      <c r="V83" s="28" t="str">
        <f aca="false">IF(R83="","",R83+S83+T83+U83)</f>
        <v/>
      </c>
      <c r="W83" s="15" t="str">
        <f aca="false">IF(V83="","",IF(V83&lt;=Faixa_1,1,IF(V83&lt;=Faixa_2,2,IF(V83&lt;=Faixa_3,3,IF(V83&lt;=Faixa_4,4,5)))))</f>
        <v/>
      </c>
      <c r="X83" s="16"/>
      <c r="Y83" s="16"/>
      <c r="Z83" s="16"/>
      <c r="AA83" s="16"/>
      <c r="AB83" s="16"/>
      <c r="AC83" s="16"/>
      <c r="AD83" s="16"/>
      <c r="AE83" s="16"/>
      <c r="AF83" s="15" t="str">
        <f aca="false">IF(AB83&lt;&gt;"",AB83,IF('MEUS PROCESSOS'!N83="Alto",Sug_Alto,IF('MEUS PROCESSOS'!N83="Médio",Sug_Medio,IF('MEUS PROCESSOS'!N83="Baixo",Sug_Baixo,""))))</f>
        <v/>
      </c>
      <c r="AG83" s="15" t="str">
        <f aca="false">IF(AC83&lt;&gt;"",AC83,IF('MEUS PROCESSOS'!O83="Alto",Sug_Alto,IF('MEUS PROCESSOS'!O83="Médio",Sug_Medio,IF('MEUS PROCESSOS'!O83="Baixo",Sug_Baixo,""))))</f>
        <v/>
      </c>
      <c r="AH83" s="15" t="str">
        <f aca="false">IF(B83="","",IF(AND(AB83&lt;&gt;"",AC83&lt;&gt;""),"Avaliado pela empresa",IF(AND(AB83="",AC83="",'MEUS PROCESSOS'!N83&lt;&gt;""),"Sugestão da biblioteca",IF('MEUS PROCESSOS'!N83&lt;&gt;"","Parcialmente sugerido",IF(AND(AB83="",AC83=""),"","Avaliado pela empresa")))))</f>
        <v/>
      </c>
      <c r="AI83" s="18" t="str">
        <f aca="false">IF(B83="","",IF(AND((COUNTBLANK(X83:AA83)+COUNTBLANK(AD83:AE83)+(AF83="")*1+(AG83="")*1)=0,W83&lt;&gt;""),"Completo","Incompleto — faltam "&amp;IF((COUNTBLANK(X83:AA83)+COUNTBLANK(AD83:AE83)+(AF83="")*1+(AG83="")*1)&gt;0,(COUNTBLANK(X83:AA83)+COUNTBLANK(AD83:AE83)+(AF83="")*1+(AG83="")*1)&amp;IF((COUNTBLANK(X83:AA83)+COUNTBLANK(AD83:AE83)+(AF83="")*1+(AG83="")*1)=1," avaliação"," avaliações"),"")&amp;IF(AND((COUNTBLANK(X83:AA83)+COUNTBLANK(AD83:AE83)+(AF83="")*1+(AG83="")*1)&gt;0,W83=""), " e ","")&amp;IF(W83="","os dados de custo","")))</f>
        <v/>
      </c>
      <c r="AJ83" s="29" t="str">
        <f aca="false">IF($AI83&lt;&gt;"Completo","",W_Custo*(W83-1)/4+W_Imp*(X83-1)/4)</f>
        <v/>
      </c>
      <c r="AK83" s="29" t="str">
        <f aca="false">IF($AI83&lt;&gt;"Completo","",W_Pot*(MAX(AF83,AG83)-1)/4+W_Rep*(Y83-1)/4+W_Pad*(Z83-1)/4+W_Vol*(AA83-1)/4)</f>
        <v/>
      </c>
      <c r="AL83" s="29" t="str">
        <f aca="false">IF($AI83&lt;&gt;"Completo","",(1-F_Pen*(AE83-1)/4)*(1-F_Pen*(AD83-1)/4))</f>
        <v/>
      </c>
      <c r="AM83" s="29" t="str">
        <f aca="false">IF($AI83&lt;&gt;"Completo","",SQRT(AK83*AL83))</f>
        <v/>
      </c>
      <c r="AN83" s="30" t="str">
        <f aca="false">IF($AI83&lt;&gt;"Completo","",100*AJ83^Exp_V*AM83^Exp_Vb)</f>
        <v/>
      </c>
      <c r="AO83" s="15" t="str">
        <f aca="false">IF(AN83="","",IF(AJ83&gt;=Corte,IF(AM83&gt;=Corte,"Fazer primeiro","Projeto estratégico"),IF(AM83&gt;=Corte,"Quick win","Evitar")))</f>
        <v/>
      </c>
      <c r="AP83" s="15" t="str">
        <f aca="false">IF(AN83="","",IF(OR(AD83&gt;=Trava_Nota,AE83&gt;=Trava_Nota),"SIM","—"))</f>
        <v/>
      </c>
      <c r="AQ83" s="15" t="str">
        <f aca="false">IF(AN83="","",IF(MAX(AF83,AG83)&lt;=Rota_Nota,"SIM","—"))</f>
        <v/>
      </c>
      <c r="AR83" s="15" t="str">
        <f aca="false">IF(AN83="","",IF(Z83&lt;=Rota_Nota,"SIM","—"))</f>
        <v/>
      </c>
      <c r="AS83" s="15" t="str">
        <f aca="false">IF(AN83="","",IF(AP83="SIM",IF(AJ83&gt;=Corte,"Projeto estratégico","Evitar"),AO83))</f>
        <v/>
      </c>
      <c r="AT83" s="15" t="str">
        <f aca="false">IF(AN83="","",IF(OR(AND(AJ83&gt;=Fr_Min,AJ83&lt;=Fr_Max),AND(AM83&gt;=Fr_Min,AM83&lt;=Fr_Max)),"Revisar",""))</f>
        <v/>
      </c>
      <c r="AU83" s="15" t="str">
        <f aca="false">IF(BE83="","",COUNTIF($BE$6:$BE$105,"&gt;"&amp;BE83)+1)</f>
        <v/>
      </c>
      <c r="AV83" s="16"/>
      <c r="AW83" s="15" t="str">
        <f aca="false">IF(B83="","",IF(AV83&lt;&gt;"",AV83,'MEUS PROCESSOS'!M83))</f>
        <v/>
      </c>
      <c r="AX83" s="23"/>
      <c r="AY83" s="31" t="str">
        <f aca="false">IF(AW83="","",IF(AX83&lt;&gt;"",AX83,IF(AW83="S",Red_S,IF(AW83="P",Red_P,IF(AW83="A",Red_A,IF(AW83="IA",Red_IA,""))))))</f>
        <v/>
      </c>
      <c r="AZ83" s="27" t="str">
        <f aca="false">IF(OR(V83="",AY83=""),"",(T83+U83)*AY83)</f>
        <v/>
      </c>
      <c r="BA83" s="27" t="str">
        <f aca="false">IF(OR(V83="",AY83=""),"",(R83+S83)*AY83)</f>
        <v/>
      </c>
      <c r="BB83" s="27" t="str">
        <f aca="false">IF(AZ83="","",AZ83+BA83)</f>
        <v/>
      </c>
      <c r="BC83" s="27" t="str">
        <f aca="false">IF(OR(P83="",AY83=""),"",(P83*(1+N(J83))+N(M83))*12*AY83)</f>
        <v/>
      </c>
      <c r="BD83" s="18" t="str">
        <f aca="false">IF(B83="","",IF(AND(AW83="E",AX83=""),"Eliminar: informe quanto do esforço atual deixa de existir (0% a 100%). Não há percentual inicial sugerido.",IF(AND(AX83="",AY83&lt;&gt;""),"Redução pela faixa inicial para simulação","")))</f>
        <v/>
      </c>
      <c r="BE83" s="19" t="str">
        <f aca="false">IF(AND(AN83&lt;&gt;"",D83=1),AN83+(1000-A83)/1000000,"")</f>
        <v/>
      </c>
    </row>
    <row r="84" customFormat="false" ht="15" hidden="false" customHeight="false" outlineLevel="0" collapsed="false">
      <c r="A84" s="15" t="n">
        <v>79</v>
      </c>
      <c r="B84" s="18" t="str">
        <f aca="false">IF('MEUS PROCESSOS'!J84="","",'MEUS PROCESSOS'!J84)</f>
        <v/>
      </c>
      <c r="C84" s="15" t="str">
        <f aca="false">IF('MEUS PROCESSOS'!K84="","",'MEUS PROCESSOS'!K84)</f>
        <v/>
      </c>
      <c r="D84" s="19" t="n">
        <f aca="false">'MEUS PROCESSOS'!Q84</f>
        <v>0</v>
      </c>
      <c r="E84" s="16"/>
      <c r="F84" s="16"/>
      <c r="G84" s="16"/>
      <c r="H84" s="16"/>
      <c r="I84" s="22"/>
      <c r="J84" s="23"/>
      <c r="K84" s="16"/>
      <c r="L84" s="24"/>
      <c r="M84" s="16"/>
      <c r="N84" s="24"/>
      <c r="O84" s="25" t="str">
        <f aca="false">IF(OR(E84="",F84=""),"",F84*IF(E84="Diária",Mult_Diaria,IF(E84="Semanal",Mult_Semanal,1)))</f>
        <v/>
      </c>
      <c r="P84" s="25" t="str">
        <f aca="false">IF(OR(O84="",G84="",H84=""),"",O84*G84/60*H84)</f>
        <v/>
      </c>
      <c r="Q84" s="26" t="str">
        <f aca="false">IF(I84&lt;&gt;"",I84,IF(Custo_Hora_Padrao&lt;&gt;"",Custo_Hora_Padrao,""))</f>
        <v/>
      </c>
      <c r="R84" s="27" t="str">
        <f aca="false">IF(OR(P84="",Q84=""),"",P84*Q84*12)</f>
        <v/>
      </c>
      <c r="S84" s="27" t="str">
        <f aca="false">IF(R84="","",R84*N(J84))</f>
        <v/>
      </c>
      <c r="T84" s="27" t="str">
        <f aca="false">IF(R84="","",N(K84)*N(L84)*12)</f>
        <v/>
      </c>
      <c r="U84" s="27" t="str">
        <f aca="false">IF(R84="","",(N(M84)*Q84*HE_Fator+N(N84))*12)</f>
        <v/>
      </c>
      <c r="V84" s="28" t="str">
        <f aca="false">IF(R84="","",R84+S84+T84+U84)</f>
        <v/>
      </c>
      <c r="W84" s="15" t="str">
        <f aca="false">IF(V84="","",IF(V84&lt;=Faixa_1,1,IF(V84&lt;=Faixa_2,2,IF(V84&lt;=Faixa_3,3,IF(V84&lt;=Faixa_4,4,5)))))</f>
        <v/>
      </c>
      <c r="X84" s="16"/>
      <c r="Y84" s="16"/>
      <c r="Z84" s="16"/>
      <c r="AA84" s="16"/>
      <c r="AB84" s="16"/>
      <c r="AC84" s="16"/>
      <c r="AD84" s="16"/>
      <c r="AE84" s="16"/>
      <c r="AF84" s="15" t="str">
        <f aca="false">IF(AB84&lt;&gt;"",AB84,IF('MEUS PROCESSOS'!N84="Alto",Sug_Alto,IF('MEUS PROCESSOS'!N84="Médio",Sug_Medio,IF('MEUS PROCESSOS'!N84="Baixo",Sug_Baixo,""))))</f>
        <v/>
      </c>
      <c r="AG84" s="15" t="str">
        <f aca="false">IF(AC84&lt;&gt;"",AC84,IF('MEUS PROCESSOS'!O84="Alto",Sug_Alto,IF('MEUS PROCESSOS'!O84="Médio",Sug_Medio,IF('MEUS PROCESSOS'!O84="Baixo",Sug_Baixo,""))))</f>
        <v/>
      </c>
      <c r="AH84" s="15" t="str">
        <f aca="false">IF(B84="","",IF(AND(AB84&lt;&gt;"",AC84&lt;&gt;""),"Avaliado pela empresa",IF(AND(AB84="",AC84="",'MEUS PROCESSOS'!N84&lt;&gt;""),"Sugestão da biblioteca",IF('MEUS PROCESSOS'!N84&lt;&gt;"","Parcialmente sugerido",IF(AND(AB84="",AC84=""),"","Avaliado pela empresa")))))</f>
        <v/>
      </c>
      <c r="AI84" s="18" t="str">
        <f aca="false">IF(B84="","",IF(AND((COUNTBLANK(X84:AA84)+COUNTBLANK(AD84:AE84)+(AF84="")*1+(AG84="")*1)=0,W84&lt;&gt;""),"Completo","Incompleto — faltam "&amp;IF((COUNTBLANK(X84:AA84)+COUNTBLANK(AD84:AE84)+(AF84="")*1+(AG84="")*1)&gt;0,(COUNTBLANK(X84:AA84)+COUNTBLANK(AD84:AE84)+(AF84="")*1+(AG84="")*1)&amp;IF((COUNTBLANK(X84:AA84)+COUNTBLANK(AD84:AE84)+(AF84="")*1+(AG84="")*1)=1," avaliação"," avaliações"),"")&amp;IF(AND((COUNTBLANK(X84:AA84)+COUNTBLANK(AD84:AE84)+(AF84="")*1+(AG84="")*1)&gt;0,W84=""), " e ","")&amp;IF(W84="","os dados de custo","")))</f>
        <v/>
      </c>
      <c r="AJ84" s="29" t="str">
        <f aca="false">IF($AI84&lt;&gt;"Completo","",W_Custo*(W84-1)/4+W_Imp*(X84-1)/4)</f>
        <v/>
      </c>
      <c r="AK84" s="29" t="str">
        <f aca="false">IF($AI84&lt;&gt;"Completo","",W_Pot*(MAX(AF84,AG84)-1)/4+W_Rep*(Y84-1)/4+W_Pad*(Z84-1)/4+W_Vol*(AA84-1)/4)</f>
        <v/>
      </c>
      <c r="AL84" s="29" t="str">
        <f aca="false">IF($AI84&lt;&gt;"Completo","",(1-F_Pen*(AE84-1)/4)*(1-F_Pen*(AD84-1)/4))</f>
        <v/>
      </c>
      <c r="AM84" s="29" t="str">
        <f aca="false">IF($AI84&lt;&gt;"Completo","",SQRT(AK84*AL84))</f>
        <v/>
      </c>
      <c r="AN84" s="30" t="str">
        <f aca="false">IF($AI84&lt;&gt;"Completo","",100*AJ84^Exp_V*AM84^Exp_Vb)</f>
        <v/>
      </c>
      <c r="AO84" s="15" t="str">
        <f aca="false">IF(AN84="","",IF(AJ84&gt;=Corte,IF(AM84&gt;=Corte,"Fazer primeiro","Projeto estratégico"),IF(AM84&gt;=Corte,"Quick win","Evitar")))</f>
        <v/>
      </c>
      <c r="AP84" s="15" t="str">
        <f aca="false">IF(AN84="","",IF(OR(AD84&gt;=Trava_Nota,AE84&gt;=Trava_Nota),"SIM","—"))</f>
        <v/>
      </c>
      <c r="AQ84" s="15" t="str">
        <f aca="false">IF(AN84="","",IF(MAX(AF84,AG84)&lt;=Rota_Nota,"SIM","—"))</f>
        <v/>
      </c>
      <c r="AR84" s="15" t="str">
        <f aca="false">IF(AN84="","",IF(Z84&lt;=Rota_Nota,"SIM","—"))</f>
        <v/>
      </c>
      <c r="AS84" s="15" t="str">
        <f aca="false">IF(AN84="","",IF(AP84="SIM",IF(AJ84&gt;=Corte,"Projeto estratégico","Evitar"),AO84))</f>
        <v/>
      </c>
      <c r="AT84" s="15" t="str">
        <f aca="false">IF(AN84="","",IF(OR(AND(AJ84&gt;=Fr_Min,AJ84&lt;=Fr_Max),AND(AM84&gt;=Fr_Min,AM84&lt;=Fr_Max)),"Revisar",""))</f>
        <v/>
      </c>
      <c r="AU84" s="15" t="str">
        <f aca="false">IF(BE84="","",COUNTIF($BE$6:$BE$105,"&gt;"&amp;BE84)+1)</f>
        <v/>
      </c>
      <c r="AV84" s="16"/>
      <c r="AW84" s="15" t="str">
        <f aca="false">IF(B84="","",IF(AV84&lt;&gt;"",AV84,'MEUS PROCESSOS'!M84))</f>
        <v/>
      </c>
      <c r="AX84" s="23"/>
      <c r="AY84" s="31" t="str">
        <f aca="false">IF(AW84="","",IF(AX84&lt;&gt;"",AX84,IF(AW84="S",Red_S,IF(AW84="P",Red_P,IF(AW84="A",Red_A,IF(AW84="IA",Red_IA,""))))))</f>
        <v/>
      </c>
      <c r="AZ84" s="27" t="str">
        <f aca="false">IF(OR(V84="",AY84=""),"",(T84+U84)*AY84)</f>
        <v/>
      </c>
      <c r="BA84" s="27" t="str">
        <f aca="false">IF(OR(V84="",AY84=""),"",(R84+S84)*AY84)</f>
        <v/>
      </c>
      <c r="BB84" s="27" t="str">
        <f aca="false">IF(AZ84="","",AZ84+BA84)</f>
        <v/>
      </c>
      <c r="BC84" s="27" t="str">
        <f aca="false">IF(OR(P84="",AY84=""),"",(P84*(1+N(J84))+N(M84))*12*AY84)</f>
        <v/>
      </c>
      <c r="BD84" s="18" t="str">
        <f aca="false">IF(B84="","",IF(AND(AW84="E",AX84=""),"Eliminar: informe quanto do esforço atual deixa de existir (0% a 100%). Não há percentual inicial sugerido.",IF(AND(AX84="",AY84&lt;&gt;""),"Redução pela faixa inicial para simulação","")))</f>
        <v/>
      </c>
      <c r="BE84" s="19" t="str">
        <f aca="false">IF(AND(AN84&lt;&gt;"",D84=1),AN84+(1000-A84)/1000000,"")</f>
        <v/>
      </c>
    </row>
    <row r="85" customFormat="false" ht="15" hidden="false" customHeight="false" outlineLevel="0" collapsed="false">
      <c r="A85" s="15" t="n">
        <v>80</v>
      </c>
      <c r="B85" s="18" t="str">
        <f aca="false">IF('MEUS PROCESSOS'!J85="","",'MEUS PROCESSOS'!J85)</f>
        <v/>
      </c>
      <c r="C85" s="15" t="str">
        <f aca="false">IF('MEUS PROCESSOS'!K85="","",'MEUS PROCESSOS'!K85)</f>
        <v/>
      </c>
      <c r="D85" s="19" t="n">
        <f aca="false">'MEUS PROCESSOS'!Q85</f>
        <v>0</v>
      </c>
      <c r="E85" s="16"/>
      <c r="F85" s="16"/>
      <c r="G85" s="16"/>
      <c r="H85" s="16"/>
      <c r="I85" s="22"/>
      <c r="J85" s="23"/>
      <c r="K85" s="16"/>
      <c r="L85" s="24"/>
      <c r="M85" s="16"/>
      <c r="N85" s="24"/>
      <c r="O85" s="25" t="str">
        <f aca="false">IF(OR(E85="",F85=""),"",F85*IF(E85="Diária",Mult_Diaria,IF(E85="Semanal",Mult_Semanal,1)))</f>
        <v/>
      </c>
      <c r="P85" s="25" t="str">
        <f aca="false">IF(OR(O85="",G85="",H85=""),"",O85*G85/60*H85)</f>
        <v/>
      </c>
      <c r="Q85" s="26" t="str">
        <f aca="false">IF(I85&lt;&gt;"",I85,IF(Custo_Hora_Padrao&lt;&gt;"",Custo_Hora_Padrao,""))</f>
        <v/>
      </c>
      <c r="R85" s="27" t="str">
        <f aca="false">IF(OR(P85="",Q85=""),"",P85*Q85*12)</f>
        <v/>
      </c>
      <c r="S85" s="27" t="str">
        <f aca="false">IF(R85="","",R85*N(J85))</f>
        <v/>
      </c>
      <c r="T85" s="27" t="str">
        <f aca="false">IF(R85="","",N(K85)*N(L85)*12)</f>
        <v/>
      </c>
      <c r="U85" s="27" t="str">
        <f aca="false">IF(R85="","",(N(M85)*Q85*HE_Fator+N(N85))*12)</f>
        <v/>
      </c>
      <c r="V85" s="28" t="str">
        <f aca="false">IF(R85="","",R85+S85+T85+U85)</f>
        <v/>
      </c>
      <c r="W85" s="15" t="str">
        <f aca="false">IF(V85="","",IF(V85&lt;=Faixa_1,1,IF(V85&lt;=Faixa_2,2,IF(V85&lt;=Faixa_3,3,IF(V85&lt;=Faixa_4,4,5)))))</f>
        <v/>
      </c>
      <c r="X85" s="16"/>
      <c r="Y85" s="16"/>
      <c r="Z85" s="16"/>
      <c r="AA85" s="16"/>
      <c r="AB85" s="16"/>
      <c r="AC85" s="16"/>
      <c r="AD85" s="16"/>
      <c r="AE85" s="16"/>
      <c r="AF85" s="15" t="str">
        <f aca="false">IF(AB85&lt;&gt;"",AB85,IF('MEUS PROCESSOS'!N85="Alto",Sug_Alto,IF('MEUS PROCESSOS'!N85="Médio",Sug_Medio,IF('MEUS PROCESSOS'!N85="Baixo",Sug_Baixo,""))))</f>
        <v/>
      </c>
      <c r="AG85" s="15" t="str">
        <f aca="false">IF(AC85&lt;&gt;"",AC85,IF('MEUS PROCESSOS'!O85="Alto",Sug_Alto,IF('MEUS PROCESSOS'!O85="Médio",Sug_Medio,IF('MEUS PROCESSOS'!O85="Baixo",Sug_Baixo,""))))</f>
        <v/>
      </c>
      <c r="AH85" s="15" t="str">
        <f aca="false">IF(B85="","",IF(AND(AB85&lt;&gt;"",AC85&lt;&gt;""),"Avaliado pela empresa",IF(AND(AB85="",AC85="",'MEUS PROCESSOS'!N85&lt;&gt;""),"Sugestão da biblioteca",IF('MEUS PROCESSOS'!N85&lt;&gt;"","Parcialmente sugerido",IF(AND(AB85="",AC85=""),"","Avaliado pela empresa")))))</f>
        <v/>
      </c>
      <c r="AI85" s="18" t="str">
        <f aca="false">IF(B85="","",IF(AND((COUNTBLANK(X85:AA85)+COUNTBLANK(AD85:AE85)+(AF85="")*1+(AG85="")*1)=0,W85&lt;&gt;""),"Completo","Incompleto — faltam "&amp;IF((COUNTBLANK(X85:AA85)+COUNTBLANK(AD85:AE85)+(AF85="")*1+(AG85="")*1)&gt;0,(COUNTBLANK(X85:AA85)+COUNTBLANK(AD85:AE85)+(AF85="")*1+(AG85="")*1)&amp;IF((COUNTBLANK(X85:AA85)+COUNTBLANK(AD85:AE85)+(AF85="")*1+(AG85="")*1)=1," avaliação"," avaliações"),"")&amp;IF(AND((COUNTBLANK(X85:AA85)+COUNTBLANK(AD85:AE85)+(AF85="")*1+(AG85="")*1)&gt;0,W85=""), " e ","")&amp;IF(W85="","os dados de custo","")))</f>
        <v/>
      </c>
      <c r="AJ85" s="29" t="str">
        <f aca="false">IF($AI85&lt;&gt;"Completo","",W_Custo*(W85-1)/4+W_Imp*(X85-1)/4)</f>
        <v/>
      </c>
      <c r="AK85" s="29" t="str">
        <f aca="false">IF($AI85&lt;&gt;"Completo","",W_Pot*(MAX(AF85,AG85)-1)/4+W_Rep*(Y85-1)/4+W_Pad*(Z85-1)/4+W_Vol*(AA85-1)/4)</f>
        <v/>
      </c>
      <c r="AL85" s="29" t="str">
        <f aca="false">IF($AI85&lt;&gt;"Completo","",(1-F_Pen*(AE85-1)/4)*(1-F_Pen*(AD85-1)/4))</f>
        <v/>
      </c>
      <c r="AM85" s="29" t="str">
        <f aca="false">IF($AI85&lt;&gt;"Completo","",SQRT(AK85*AL85))</f>
        <v/>
      </c>
      <c r="AN85" s="30" t="str">
        <f aca="false">IF($AI85&lt;&gt;"Completo","",100*AJ85^Exp_V*AM85^Exp_Vb)</f>
        <v/>
      </c>
      <c r="AO85" s="15" t="str">
        <f aca="false">IF(AN85="","",IF(AJ85&gt;=Corte,IF(AM85&gt;=Corte,"Fazer primeiro","Projeto estratégico"),IF(AM85&gt;=Corte,"Quick win","Evitar")))</f>
        <v/>
      </c>
      <c r="AP85" s="15" t="str">
        <f aca="false">IF(AN85="","",IF(OR(AD85&gt;=Trava_Nota,AE85&gt;=Trava_Nota),"SIM","—"))</f>
        <v/>
      </c>
      <c r="AQ85" s="15" t="str">
        <f aca="false">IF(AN85="","",IF(MAX(AF85,AG85)&lt;=Rota_Nota,"SIM","—"))</f>
        <v/>
      </c>
      <c r="AR85" s="15" t="str">
        <f aca="false">IF(AN85="","",IF(Z85&lt;=Rota_Nota,"SIM","—"))</f>
        <v/>
      </c>
      <c r="AS85" s="15" t="str">
        <f aca="false">IF(AN85="","",IF(AP85="SIM",IF(AJ85&gt;=Corte,"Projeto estratégico","Evitar"),AO85))</f>
        <v/>
      </c>
      <c r="AT85" s="15" t="str">
        <f aca="false">IF(AN85="","",IF(OR(AND(AJ85&gt;=Fr_Min,AJ85&lt;=Fr_Max),AND(AM85&gt;=Fr_Min,AM85&lt;=Fr_Max)),"Revisar",""))</f>
        <v/>
      </c>
      <c r="AU85" s="15" t="str">
        <f aca="false">IF(BE85="","",COUNTIF($BE$6:$BE$105,"&gt;"&amp;BE85)+1)</f>
        <v/>
      </c>
      <c r="AV85" s="16"/>
      <c r="AW85" s="15" t="str">
        <f aca="false">IF(B85="","",IF(AV85&lt;&gt;"",AV85,'MEUS PROCESSOS'!M85))</f>
        <v/>
      </c>
      <c r="AX85" s="23"/>
      <c r="AY85" s="31" t="str">
        <f aca="false">IF(AW85="","",IF(AX85&lt;&gt;"",AX85,IF(AW85="S",Red_S,IF(AW85="P",Red_P,IF(AW85="A",Red_A,IF(AW85="IA",Red_IA,""))))))</f>
        <v/>
      </c>
      <c r="AZ85" s="27" t="str">
        <f aca="false">IF(OR(V85="",AY85=""),"",(T85+U85)*AY85)</f>
        <v/>
      </c>
      <c r="BA85" s="27" t="str">
        <f aca="false">IF(OR(V85="",AY85=""),"",(R85+S85)*AY85)</f>
        <v/>
      </c>
      <c r="BB85" s="27" t="str">
        <f aca="false">IF(AZ85="","",AZ85+BA85)</f>
        <v/>
      </c>
      <c r="BC85" s="27" t="str">
        <f aca="false">IF(OR(P85="",AY85=""),"",(P85*(1+N(J85))+N(M85))*12*AY85)</f>
        <v/>
      </c>
      <c r="BD85" s="18" t="str">
        <f aca="false">IF(B85="","",IF(AND(AW85="E",AX85=""),"Eliminar: informe quanto do esforço atual deixa de existir (0% a 100%). Não há percentual inicial sugerido.",IF(AND(AX85="",AY85&lt;&gt;""),"Redução pela faixa inicial para simulação","")))</f>
        <v/>
      </c>
      <c r="BE85" s="19" t="str">
        <f aca="false">IF(AND(AN85&lt;&gt;"",D85=1),AN85+(1000-A85)/1000000,"")</f>
        <v/>
      </c>
    </row>
    <row r="86" customFormat="false" ht="15" hidden="false" customHeight="false" outlineLevel="0" collapsed="false">
      <c r="A86" s="15" t="n">
        <v>81</v>
      </c>
      <c r="B86" s="18" t="str">
        <f aca="false">IF('MEUS PROCESSOS'!J86="","",'MEUS PROCESSOS'!J86)</f>
        <v/>
      </c>
      <c r="C86" s="15" t="str">
        <f aca="false">IF('MEUS PROCESSOS'!K86="","",'MEUS PROCESSOS'!K86)</f>
        <v/>
      </c>
      <c r="D86" s="19" t="n">
        <f aca="false">'MEUS PROCESSOS'!Q86</f>
        <v>0</v>
      </c>
      <c r="E86" s="16"/>
      <c r="F86" s="16"/>
      <c r="G86" s="16"/>
      <c r="H86" s="16"/>
      <c r="I86" s="22"/>
      <c r="J86" s="23"/>
      <c r="K86" s="16"/>
      <c r="L86" s="24"/>
      <c r="M86" s="16"/>
      <c r="N86" s="24"/>
      <c r="O86" s="25" t="str">
        <f aca="false">IF(OR(E86="",F86=""),"",F86*IF(E86="Diária",Mult_Diaria,IF(E86="Semanal",Mult_Semanal,1)))</f>
        <v/>
      </c>
      <c r="P86" s="25" t="str">
        <f aca="false">IF(OR(O86="",G86="",H86=""),"",O86*G86/60*H86)</f>
        <v/>
      </c>
      <c r="Q86" s="26" t="str">
        <f aca="false">IF(I86&lt;&gt;"",I86,IF(Custo_Hora_Padrao&lt;&gt;"",Custo_Hora_Padrao,""))</f>
        <v/>
      </c>
      <c r="R86" s="27" t="str">
        <f aca="false">IF(OR(P86="",Q86=""),"",P86*Q86*12)</f>
        <v/>
      </c>
      <c r="S86" s="27" t="str">
        <f aca="false">IF(R86="","",R86*N(J86))</f>
        <v/>
      </c>
      <c r="T86" s="27" t="str">
        <f aca="false">IF(R86="","",N(K86)*N(L86)*12)</f>
        <v/>
      </c>
      <c r="U86" s="27" t="str">
        <f aca="false">IF(R86="","",(N(M86)*Q86*HE_Fator+N(N86))*12)</f>
        <v/>
      </c>
      <c r="V86" s="28" t="str">
        <f aca="false">IF(R86="","",R86+S86+T86+U86)</f>
        <v/>
      </c>
      <c r="W86" s="15" t="str">
        <f aca="false">IF(V86="","",IF(V86&lt;=Faixa_1,1,IF(V86&lt;=Faixa_2,2,IF(V86&lt;=Faixa_3,3,IF(V86&lt;=Faixa_4,4,5)))))</f>
        <v/>
      </c>
      <c r="X86" s="16"/>
      <c r="Y86" s="16"/>
      <c r="Z86" s="16"/>
      <c r="AA86" s="16"/>
      <c r="AB86" s="16"/>
      <c r="AC86" s="16"/>
      <c r="AD86" s="16"/>
      <c r="AE86" s="16"/>
      <c r="AF86" s="15" t="str">
        <f aca="false">IF(AB86&lt;&gt;"",AB86,IF('MEUS PROCESSOS'!N86="Alto",Sug_Alto,IF('MEUS PROCESSOS'!N86="Médio",Sug_Medio,IF('MEUS PROCESSOS'!N86="Baixo",Sug_Baixo,""))))</f>
        <v/>
      </c>
      <c r="AG86" s="15" t="str">
        <f aca="false">IF(AC86&lt;&gt;"",AC86,IF('MEUS PROCESSOS'!O86="Alto",Sug_Alto,IF('MEUS PROCESSOS'!O86="Médio",Sug_Medio,IF('MEUS PROCESSOS'!O86="Baixo",Sug_Baixo,""))))</f>
        <v/>
      </c>
      <c r="AH86" s="15" t="str">
        <f aca="false">IF(B86="","",IF(AND(AB86&lt;&gt;"",AC86&lt;&gt;""),"Avaliado pela empresa",IF(AND(AB86="",AC86="",'MEUS PROCESSOS'!N86&lt;&gt;""),"Sugestão da biblioteca",IF('MEUS PROCESSOS'!N86&lt;&gt;"","Parcialmente sugerido",IF(AND(AB86="",AC86=""),"","Avaliado pela empresa")))))</f>
        <v/>
      </c>
      <c r="AI86" s="18" t="str">
        <f aca="false">IF(B86="","",IF(AND((COUNTBLANK(X86:AA86)+COUNTBLANK(AD86:AE86)+(AF86="")*1+(AG86="")*1)=0,W86&lt;&gt;""),"Completo","Incompleto — faltam "&amp;IF((COUNTBLANK(X86:AA86)+COUNTBLANK(AD86:AE86)+(AF86="")*1+(AG86="")*1)&gt;0,(COUNTBLANK(X86:AA86)+COUNTBLANK(AD86:AE86)+(AF86="")*1+(AG86="")*1)&amp;IF((COUNTBLANK(X86:AA86)+COUNTBLANK(AD86:AE86)+(AF86="")*1+(AG86="")*1)=1," avaliação"," avaliações"),"")&amp;IF(AND((COUNTBLANK(X86:AA86)+COUNTBLANK(AD86:AE86)+(AF86="")*1+(AG86="")*1)&gt;0,W86=""), " e ","")&amp;IF(W86="","os dados de custo","")))</f>
        <v/>
      </c>
      <c r="AJ86" s="29" t="str">
        <f aca="false">IF($AI86&lt;&gt;"Completo","",W_Custo*(W86-1)/4+W_Imp*(X86-1)/4)</f>
        <v/>
      </c>
      <c r="AK86" s="29" t="str">
        <f aca="false">IF($AI86&lt;&gt;"Completo","",W_Pot*(MAX(AF86,AG86)-1)/4+W_Rep*(Y86-1)/4+W_Pad*(Z86-1)/4+W_Vol*(AA86-1)/4)</f>
        <v/>
      </c>
      <c r="AL86" s="29" t="str">
        <f aca="false">IF($AI86&lt;&gt;"Completo","",(1-F_Pen*(AE86-1)/4)*(1-F_Pen*(AD86-1)/4))</f>
        <v/>
      </c>
      <c r="AM86" s="29" t="str">
        <f aca="false">IF($AI86&lt;&gt;"Completo","",SQRT(AK86*AL86))</f>
        <v/>
      </c>
      <c r="AN86" s="30" t="str">
        <f aca="false">IF($AI86&lt;&gt;"Completo","",100*AJ86^Exp_V*AM86^Exp_Vb)</f>
        <v/>
      </c>
      <c r="AO86" s="15" t="str">
        <f aca="false">IF(AN86="","",IF(AJ86&gt;=Corte,IF(AM86&gt;=Corte,"Fazer primeiro","Projeto estratégico"),IF(AM86&gt;=Corte,"Quick win","Evitar")))</f>
        <v/>
      </c>
      <c r="AP86" s="15" t="str">
        <f aca="false">IF(AN86="","",IF(OR(AD86&gt;=Trava_Nota,AE86&gt;=Trava_Nota),"SIM","—"))</f>
        <v/>
      </c>
      <c r="AQ86" s="15" t="str">
        <f aca="false">IF(AN86="","",IF(MAX(AF86,AG86)&lt;=Rota_Nota,"SIM","—"))</f>
        <v/>
      </c>
      <c r="AR86" s="15" t="str">
        <f aca="false">IF(AN86="","",IF(Z86&lt;=Rota_Nota,"SIM","—"))</f>
        <v/>
      </c>
      <c r="AS86" s="15" t="str">
        <f aca="false">IF(AN86="","",IF(AP86="SIM",IF(AJ86&gt;=Corte,"Projeto estratégico","Evitar"),AO86))</f>
        <v/>
      </c>
      <c r="AT86" s="15" t="str">
        <f aca="false">IF(AN86="","",IF(OR(AND(AJ86&gt;=Fr_Min,AJ86&lt;=Fr_Max),AND(AM86&gt;=Fr_Min,AM86&lt;=Fr_Max)),"Revisar",""))</f>
        <v/>
      </c>
      <c r="AU86" s="15" t="str">
        <f aca="false">IF(BE86="","",COUNTIF($BE$6:$BE$105,"&gt;"&amp;BE86)+1)</f>
        <v/>
      </c>
      <c r="AV86" s="16"/>
      <c r="AW86" s="15" t="str">
        <f aca="false">IF(B86="","",IF(AV86&lt;&gt;"",AV86,'MEUS PROCESSOS'!M86))</f>
        <v/>
      </c>
      <c r="AX86" s="23"/>
      <c r="AY86" s="31" t="str">
        <f aca="false">IF(AW86="","",IF(AX86&lt;&gt;"",AX86,IF(AW86="S",Red_S,IF(AW86="P",Red_P,IF(AW86="A",Red_A,IF(AW86="IA",Red_IA,""))))))</f>
        <v/>
      </c>
      <c r="AZ86" s="27" t="str">
        <f aca="false">IF(OR(V86="",AY86=""),"",(T86+U86)*AY86)</f>
        <v/>
      </c>
      <c r="BA86" s="27" t="str">
        <f aca="false">IF(OR(V86="",AY86=""),"",(R86+S86)*AY86)</f>
        <v/>
      </c>
      <c r="BB86" s="27" t="str">
        <f aca="false">IF(AZ86="","",AZ86+BA86)</f>
        <v/>
      </c>
      <c r="BC86" s="27" t="str">
        <f aca="false">IF(OR(P86="",AY86=""),"",(P86*(1+N(J86))+N(M86))*12*AY86)</f>
        <v/>
      </c>
      <c r="BD86" s="18" t="str">
        <f aca="false">IF(B86="","",IF(AND(AW86="E",AX86=""),"Eliminar: informe quanto do esforço atual deixa de existir (0% a 100%). Não há percentual inicial sugerido.",IF(AND(AX86="",AY86&lt;&gt;""),"Redução pela faixa inicial para simulação","")))</f>
        <v/>
      </c>
      <c r="BE86" s="19" t="str">
        <f aca="false">IF(AND(AN86&lt;&gt;"",D86=1),AN86+(1000-A86)/1000000,"")</f>
        <v/>
      </c>
    </row>
    <row r="87" customFormat="false" ht="15" hidden="false" customHeight="false" outlineLevel="0" collapsed="false">
      <c r="A87" s="15" t="n">
        <v>82</v>
      </c>
      <c r="B87" s="18" t="str">
        <f aca="false">IF('MEUS PROCESSOS'!J87="","",'MEUS PROCESSOS'!J87)</f>
        <v/>
      </c>
      <c r="C87" s="15" t="str">
        <f aca="false">IF('MEUS PROCESSOS'!K87="","",'MEUS PROCESSOS'!K87)</f>
        <v/>
      </c>
      <c r="D87" s="19" t="n">
        <f aca="false">'MEUS PROCESSOS'!Q87</f>
        <v>0</v>
      </c>
      <c r="E87" s="16"/>
      <c r="F87" s="16"/>
      <c r="G87" s="16"/>
      <c r="H87" s="16"/>
      <c r="I87" s="22"/>
      <c r="J87" s="23"/>
      <c r="K87" s="16"/>
      <c r="L87" s="24"/>
      <c r="M87" s="16"/>
      <c r="N87" s="24"/>
      <c r="O87" s="25" t="str">
        <f aca="false">IF(OR(E87="",F87=""),"",F87*IF(E87="Diária",Mult_Diaria,IF(E87="Semanal",Mult_Semanal,1)))</f>
        <v/>
      </c>
      <c r="P87" s="25" t="str">
        <f aca="false">IF(OR(O87="",G87="",H87=""),"",O87*G87/60*H87)</f>
        <v/>
      </c>
      <c r="Q87" s="26" t="str">
        <f aca="false">IF(I87&lt;&gt;"",I87,IF(Custo_Hora_Padrao&lt;&gt;"",Custo_Hora_Padrao,""))</f>
        <v/>
      </c>
      <c r="R87" s="27" t="str">
        <f aca="false">IF(OR(P87="",Q87=""),"",P87*Q87*12)</f>
        <v/>
      </c>
      <c r="S87" s="27" t="str">
        <f aca="false">IF(R87="","",R87*N(J87))</f>
        <v/>
      </c>
      <c r="T87" s="27" t="str">
        <f aca="false">IF(R87="","",N(K87)*N(L87)*12)</f>
        <v/>
      </c>
      <c r="U87" s="27" t="str">
        <f aca="false">IF(R87="","",(N(M87)*Q87*HE_Fator+N(N87))*12)</f>
        <v/>
      </c>
      <c r="V87" s="28" t="str">
        <f aca="false">IF(R87="","",R87+S87+T87+U87)</f>
        <v/>
      </c>
      <c r="W87" s="15" t="str">
        <f aca="false">IF(V87="","",IF(V87&lt;=Faixa_1,1,IF(V87&lt;=Faixa_2,2,IF(V87&lt;=Faixa_3,3,IF(V87&lt;=Faixa_4,4,5)))))</f>
        <v/>
      </c>
      <c r="X87" s="16"/>
      <c r="Y87" s="16"/>
      <c r="Z87" s="16"/>
      <c r="AA87" s="16"/>
      <c r="AB87" s="16"/>
      <c r="AC87" s="16"/>
      <c r="AD87" s="16"/>
      <c r="AE87" s="16"/>
      <c r="AF87" s="15" t="str">
        <f aca="false">IF(AB87&lt;&gt;"",AB87,IF('MEUS PROCESSOS'!N87="Alto",Sug_Alto,IF('MEUS PROCESSOS'!N87="Médio",Sug_Medio,IF('MEUS PROCESSOS'!N87="Baixo",Sug_Baixo,""))))</f>
        <v/>
      </c>
      <c r="AG87" s="15" t="str">
        <f aca="false">IF(AC87&lt;&gt;"",AC87,IF('MEUS PROCESSOS'!O87="Alto",Sug_Alto,IF('MEUS PROCESSOS'!O87="Médio",Sug_Medio,IF('MEUS PROCESSOS'!O87="Baixo",Sug_Baixo,""))))</f>
        <v/>
      </c>
      <c r="AH87" s="15" t="str">
        <f aca="false">IF(B87="","",IF(AND(AB87&lt;&gt;"",AC87&lt;&gt;""),"Avaliado pela empresa",IF(AND(AB87="",AC87="",'MEUS PROCESSOS'!N87&lt;&gt;""),"Sugestão da biblioteca",IF('MEUS PROCESSOS'!N87&lt;&gt;"","Parcialmente sugerido",IF(AND(AB87="",AC87=""),"","Avaliado pela empresa")))))</f>
        <v/>
      </c>
      <c r="AI87" s="18" t="str">
        <f aca="false">IF(B87="","",IF(AND((COUNTBLANK(X87:AA87)+COUNTBLANK(AD87:AE87)+(AF87="")*1+(AG87="")*1)=0,W87&lt;&gt;""),"Completo","Incompleto — faltam "&amp;IF((COUNTBLANK(X87:AA87)+COUNTBLANK(AD87:AE87)+(AF87="")*1+(AG87="")*1)&gt;0,(COUNTBLANK(X87:AA87)+COUNTBLANK(AD87:AE87)+(AF87="")*1+(AG87="")*1)&amp;IF((COUNTBLANK(X87:AA87)+COUNTBLANK(AD87:AE87)+(AF87="")*1+(AG87="")*1)=1," avaliação"," avaliações"),"")&amp;IF(AND((COUNTBLANK(X87:AA87)+COUNTBLANK(AD87:AE87)+(AF87="")*1+(AG87="")*1)&gt;0,W87=""), " e ","")&amp;IF(W87="","os dados de custo","")))</f>
        <v/>
      </c>
      <c r="AJ87" s="29" t="str">
        <f aca="false">IF($AI87&lt;&gt;"Completo","",W_Custo*(W87-1)/4+W_Imp*(X87-1)/4)</f>
        <v/>
      </c>
      <c r="AK87" s="29" t="str">
        <f aca="false">IF($AI87&lt;&gt;"Completo","",W_Pot*(MAX(AF87,AG87)-1)/4+W_Rep*(Y87-1)/4+W_Pad*(Z87-1)/4+W_Vol*(AA87-1)/4)</f>
        <v/>
      </c>
      <c r="AL87" s="29" t="str">
        <f aca="false">IF($AI87&lt;&gt;"Completo","",(1-F_Pen*(AE87-1)/4)*(1-F_Pen*(AD87-1)/4))</f>
        <v/>
      </c>
      <c r="AM87" s="29" t="str">
        <f aca="false">IF($AI87&lt;&gt;"Completo","",SQRT(AK87*AL87))</f>
        <v/>
      </c>
      <c r="AN87" s="30" t="str">
        <f aca="false">IF($AI87&lt;&gt;"Completo","",100*AJ87^Exp_V*AM87^Exp_Vb)</f>
        <v/>
      </c>
      <c r="AO87" s="15" t="str">
        <f aca="false">IF(AN87="","",IF(AJ87&gt;=Corte,IF(AM87&gt;=Corte,"Fazer primeiro","Projeto estratégico"),IF(AM87&gt;=Corte,"Quick win","Evitar")))</f>
        <v/>
      </c>
      <c r="AP87" s="15" t="str">
        <f aca="false">IF(AN87="","",IF(OR(AD87&gt;=Trava_Nota,AE87&gt;=Trava_Nota),"SIM","—"))</f>
        <v/>
      </c>
      <c r="AQ87" s="15" t="str">
        <f aca="false">IF(AN87="","",IF(MAX(AF87,AG87)&lt;=Rota_Nota,"SIM","—"))</f>
        <v/>
      </c>
      <c r="AR87" s="15" t="str">
        <f aca="false">IF(AN87="","",IF(Z87&lt;=Rota_Nota,"SIM","—"))</f>
        <v/>
      </c>
      <c r="AS87" s="15" t="str">
        <f aca="false">IF(AN87="","",IF(AP87="SIM",IF(AJ87&gt;=Corte,"Projeto estratégico","Evitar"),AO87))</f>
        <v/>
      </c>
      <c r="AT87" s="15" t="str">
        <f aca="false">IF(AN87="","",IF(OR(AND(AJ87&gt;=Fr_Min,AJ87&lt;=Fr_Max),AND(AM87&gt;=Fr_Min,AM87&lt;=Fr_Max)),"Revisar",""))</f>
        <v/>
      </c>
      <c r="AU87" s="15" t="str">
        <f aca="false">IF(BE87="","",COUNTIF($BE$6:$BE$105,"&gt;"&amp;BE87)+1)</f>
        <v/>
      </c>
      <c r="AV87" s="16"/>
      <c r="AW87" s="15" t="str">
        <f aca="false">IF(B87="","",IF(AV87&lt;&gt;"",AV87,'MEUS PROCESSOS'!M87))</f>
        <v/>
      </c>
      <c r="AX87" s="23"/>
      <c r="AY87" s="31" t="str">
        <f aca="false">IF(AW87="","",IF(AX87&lt;&gt;"",AX87,IF(AW87="S",Red_S,IF(AW87="P",Red_P,IF(AW87="A",Red_A,IF(AW87="IA",Red_IA,""))))))</f>
        <v/>
      </c>
      <c r="AZ87" s="27" t="str">
        <f aca="false">IF(OR(V87="",AY87=""),"",(T87+U87)*AY87)</f>
        <v/>
      </c>
      <c r="BA87" s="27" t="str">
        <f aca="false">IF(OR(V87="",AY87=""),"",(R87+S87)*AY87)</f>
        <v/>
      </c>
      <c r="BB87" s="27" t="str">
        <f aca="false">IF(AZ87="","",AZ87+BA87)</f>
        <v/>
      </c>
      <c r="BC87" s="27" t="str">
        <f aca="false">IF(OR(P87="",AY87=""),"",(P87*(1+N(J87))+N(M87))*12*AY87)</f>
        <v/>
      </c>
      <c r="BD87" s="18" t="str">
        <f aca="false">IF(B87="","",IF(AND(AW87="E",AX87=""),"Eliminar: informe quanto do esforço atual deixa de existir (0% a 100%). Não há percentual inicial sugerido.",IF(AND(AX87="",AY87&lt;&gt;""),"Redução pela faixa inicial para simulação","")))</f>
        <v/>
      </c>
      <c r="BE87" s="19" t="str">
        <f aca="false">IF(AND(AN87&lt;&gt;"",D87=1),AN87+(1000-A87)/1000000,"")</f>
        <v/>
      </c>
    </row>
    <row r="88" customFormat="false" ht="15" hidden="false" customHeight="false" outlineLevel="0" collapsed="false">
      <c r="A88" s="15" t="n">
        <v>83</v>
      </c>
      <c r="B88" s="18" t="str">
        <f aca="false">IF('MEUS PROCESSOS'!J88="","",'MEUS PROCESSOS'!J88)</f>
        <v/>
      </c>
      <c r="C88" s="15" t="str">
        <f aca="false">IF('MEUS PROCESSOS'!K88="","",'MEUS PROCESSOS'!K88)</f>
        <v/>
      </c>
      <c r="D88" s="19" t="n">
        <f aca="false">'MEUS PROCESSOS'!Q88</f>
        <v>0</v>
      </c>
      <c r="E88" s="16"/>
      <c r="F88" s="16"/>
      <c r="G88" s="16"/>
      <c r="H88" s="16"/>
      <c r="I88" s="22"/>
      <c r="J88" s="23"/>
      <c r="K88" s="16"/>
      <c r="L88" s="24"/>
      <c r="M88" s="16"/>
      <c r="N88" s="24"/>
      <c r="O88" s="25" t="str">
        <f aca="false">IF(OR(E88="",F88=""),"",F88*IF(E88="Diária",Mult_Diaria,IF(E88="Semanal",Mult_Semanal,1)))</f>
        <v/>
      </c>
      <c r="P88" s="25" t="str">
        <f aca="false">IF(OR(O88="",G88="",H88=""),"",O88*G88/60*H88)</f>
        <v/>
      </c>
      <c r="Q88" s="26" t="str">
        <f aca="false">IF(I88&lt;&gt;"",I88,IF(Custo_Hora_Padrao&lt;&gt;"",Custo_Hora_Padrao,""))</f>
        <v/>
      </c>
      <c r="R88" s="27" t="str">
        <f aca="false">IF(OR(P88="",Q88=""),"",P88*Q88*12)</f>
        <v/>
      </c>
      <c r="S88" s="27" t="str">
        <f aca="false">IF(R88="","",R88*N(J88))</f>
        <v/>
      </c>
      <c r="T88" s="27" t="str">
        <f aca="false">IF(R88="","",N(K88)*N(L88)*12)</f>
        <v/>
      </c>
      <c r="U88" s="27" t="str">
        <f aca="false">IF(R88="","",(N(M88)*Q88*HE_Fator+N(N88))*12)</f>
        <v/>
      </c>
      <c r="V88" s="28" t="str">
        <f aca="false">IF(R88="","",R88+S88+T88+U88)</f>
        <v/>
      </c>
      <c r="W88" s="15" t="str">
        <f aca="false">IF(V88="","",IF(V88&lt;=Faixa_1,1,IF(V88&lt;=Faixa_2,2,IF(V88&lt;=Faixa_3,3,IF(V88&lt;=Faixa_4,4,5)))))</f>
        <v/>
      </c>
      <c r="X88" s="16"/>
      <c r="Y88" s="16"/>
      <c r="Z88" s="16"/>
      <c r="AA88" s="16"/>
      <c r="AB88" s="16"/>
      <c r="AC88" s="16"/>
      <c r="AD88" s="16"/>
      <c r="AE88" s="16"/>
      <c r="AF88" s="15" t="str">
        <f aca="false">IF(AB88&lt;&gt;"",AB88,IF('MEUS PROCESSOS'!N88="Alto",Sug_Alto,IF('MEUS PROCESSOS'!N88="Médio",Sug_Medio,IF('MEUS PROCESSOS'!N88="Baixo",Sug_Baixo,""))))</f>
        <v/>
      </c>
      <c r="AG88" s="15" t="str">
        <f aca="false">IF(AC88&lt;&gt;"",AC88,IF('MEUS PROCESSOS'!O88="Alto",Sug_Alto,IF('MEUS PROCESSOS'!O88="Médio",Sug_Medio,IF('MEUS PROCESSOS'!O88="Baixo",Sug_Baixo,""))))</f>
        <v/>
      </c>
      <c r="AH88" s="15" t="str">
        <f aca="false">IF(B88="","",IF(AND(AB88&lt;&gt;"",AC88&lt;&gt;""),"Avaliado pela empresa",IF(AND(AB88="",AC88="",'MEUS PROCESSOS'!N88&lt;&gt;""),"Sugestão da biblioteca",IF('MEUS PROCESSOS'!N88&lt;&gt;"","Parcialmente sugerido",IF(AND(AB88="",AC88=""),"","Avaliado pela empresa")))))</f>
        <v/>
      </c>
      <c r="AI88" s="18" t="str">
        <f aca="false">IF(B88="","",IF(AND((COUNTBLANK(X88:AA88)+COUNTBLANK(AD88:AE88)+(AF88="")*1+(AG88="")*1)=0,W88&lt;&gt;""),"Completo","Incompleto — faltam "&amp;IF((COUNTBLANK(X88:AA88)+COUNTBLANK(AD88:AE88)+(AF88="")*1+(AG88="")*1)&gt;0,(COUNTBLANK(X88:AA88)+COUNTBLANK(AD88:AE88)+(AF88="")*1+(AG88="")*1)&amp;IF((COUNTBLANK(X88:AA88)+COUNTBLANK(AD88:AE88)+(AF88="")*1+(AG88="")*1)=1," avaliação"," avaliações"),"")&amp;IF(AND((COUNTBLANK(X88:AA88)+COUNTBLANK(AD88:AE88)+(AF88="")*1+(AG88="")*1)&gt;0,W88=""), " e ","")&amp;IF(W88="","os dados de custo","")))</f>
        <v/>
      </c>
      <c r="AJ88" s="29" t="str">
        <f aca="false">IF($AI88&lt;&gt;"Completo","",W_Custo*(W88-1)/4+W_Imp*(X88-1)/4)</f>
        <v/>
      </c>
      <c r="AK88" s="29" t="str">
        <f aca="false">IF($AI88&lt;&gt;"Completo","",W_Pot*(MAX(AF88,AG88)-1)/4+W_Rep*(Y88-1)/4+W_Pad*(Z88-1)/4+W_Vol*(AA88-1)/4)</f>
        <v/>
      </c>
      <c r="AL88" s="29" t="str">
        <f aca="false">IF($AI88&lt;&gt;"Completo","",(1-F_Pen*(AE88-1)/4)*(1-F_Pen*(AD88-1)/4))</f>
        <v/>
      </c>
      <c r="AM88" s="29" t="str">
        <f aca="false">IF($AI88&lt;&gt;"Completo","",SQRT(AK88*AL88))</f>
        <v/>
      </c>
      <c r="AN88" s="30" t="str">
        <f aca="false">IF($AI88&lt;&gt;"Completo","",100*AJ88^Exp_V*AM88^Exp_Vb)</f>
        <v/>
      </c>
      <c r="AO88" s="15" t="str">
        <f aca="false">IF(AN88="","",IF(AJ88&gt;=Corte,IF(AM88&gt;=Corte,"Fazer primeiro","Projeto estratégico"),IF(AM88&gt;=Corte,"Quick win","Evitar")))</f>
        <v/>
      </c>
      <c r="AP88" s="15" t="str">
        <f aca="false">IF(AN88="","",IF(OR(AD88&gt;=Trava_Nota,AE88&gt;=Trava_Nota),"SIM","—"))</f>
        <v/>
      </c>
      <c r="AQ88" s="15" t="str">
        <f aca="false">IF(AN88="","",IF(MAX(AF88,AG88)&lt;=Rota_Nota,"SIM","—"))</f>
        <v/>
      </c>
      <c r="AR88" s="15" t="str">
        <f aca="false">IF(AN88="","",IF(Z88&lt;=Rota_Nota,"SIM","—"))</f>
        <v/>
      </c>
      <c r="AS88" s="15" t="str">
        <f aca="false">IF(AN88="","",IF(AP88="SIM",IF(AJ88&gt;=Corte,"Projeto estratégico","Evitar"),AO88))</f>
        <v/>
      </c>
      <c r="AT88" s="15" t="str">
        <f aca="false">IF(AN88="","",IF(OR(AND(AJ88&gt;=Fr_Min,AJ88&lt;=Fr_Max),AND(AM88&gt;=Fr_Min,AM88&lt;=Fr_Max)),"Revisar",""))</f>
        <v/>
      </c>
      <c r="AU88" s="15" t="str">
        <f aca="false">IF(BE88="","",COUNTIF($BE$6:$BE$105,"&gt;"&amp;BE88)+1)</f>
        <v/>
      </c>
      <c r="AV88" s="16"/>
      <c r="AW88" s="15" t="str">
        <f aca="false">IF(B88="","",IF(AV88&lt;&gt;"",AV88,'MEUS PROCESSOS'!M88))</f>
        <v/>
      </c>
      <c r="AX88" s="23"/>
      <c r="AY88" s="31" t="str">
        <f aca="false">IF(AW88="","",IF(AX88&lt;&gt;"",AX88,IF(AW88="S",Red_S,IF(AW88="P",Red_P,IF(AW88="A",Red_A,IF(AW88="IA",Red_IA,""))))))</f>
        <v/>
      </c>
      <c r="AZ88" s="27" t="str">
        <f aca="false">IF(OR(V88="",AY88=""),"",(T88+U88)*AY88)</f>
        <v/>
      </c>
      <c r="BA88" s="27" t="str">
        <f aca="false">IF(OR(V88="",AY88=""),"",(R88+S88)*AY88)</f>
        <v/>
      </c>
      <c r="BB88" s="27" t="str">
        <f aca="false">IF(AZ88="","",AZ88+BA88)</f>
        <v/>
      </c>
      <c r="BC88" s="27" t="str">
        <f aca="false">IF(OR(P88="",AY88=""),"",(P88*(1+N(J88))+N(M88))*12*AY88)</f>
        <v/>
      </c>
      <c r="BD88" s="18" t="str">
        <f aca="false">IF(B88="","",IF(AND(AW88="E",AX88=""),"Eliminar: informe quanto do esforço atual deixa de existir (0% a 100%). Não há percentual inicial sugerido.",IF(AND(AX88="",AY88&lt;&gt;""),"Redução pela faixa inicial para simulação","")))</f>
        <v/>
      </c>
      <c r="BE88" s="19" t="str">
        <f aca="false">IF(AND(AN88&lt;&gt;"",D88=1),AN88+(1000-A88)/1000000,"")</f>
        <v/>
      </c>
    </row>
    <row r="89" customFormat="false" ht="15" hidden="false" customHeight="false" outlineLevel="0" collapsed="false">
      <c r="A89" s="15" t="n">
        <v>84</v>
      </c>
      <c r="B89" s="18" t="str">
        <f aca="false">IF('MEUS PROCESSOS'!J89="","",'MEUS PROCESSOS'!J89)</f>
        <v/>
      </c>
      <c r="C89" s="15" t="str">
        <f aca="false">IF('MEUS PROCESSOS'!K89="","",'MEUS PROCESSOS'!K89)</f>
        <v/>
      </c>
      <c r="D89" s="19" t="n">
        <f aca="false">'MEUS PROCESSOS'!Q89</f>
        <v>0</v>
      </c>
      <c r="E89" s="16"/>
      <c r="F89" s="16"/>
      <c r="G89" s="16"/>
      <c r="H89" s="16"/>
      <c r="I89" s="22"/>
      <c r="J89" s="23"/>
      <c r="K89" s="16"/>
      <c r="L89" s="24"/>
      <c r="M89" s="16"/>
      <c r="N89" s="24"/>
      <c r="O89" s="25" t="str">
        <f aca="false">IF(OR(E89="",F89=""),"",F89*IF(E89="Diária",Mult_Diaria,IF(E89="Semanal",Mult_Semanal,1)))</f>
        <v/>
      </c>
      <c r="P89" s="25" t="str">
        <f aca="false">IF(OR(O89="",G89="",H89=""),"",O89*G89/60*H89)</f>
        <v/>
      </c>
      <c r="Q89" s="26" t="str">
        <f aca="false">IF(I89&lt;&gt;"",I89,IF(Custo_Hora_Padrao&lt;&gt;"",Custo_Hora_Padrao,""))</f>
        <v/>
      </c>
      <c r="R89" s="27" t="str">
        <f aca="false">IF(OR(P89="",Q89=""),"",P89*Q89*12)</f>
        <v/>
      </c>
      <c r="S89" s="27" t="str">
        <f aca="false">IF(R89="","",R89*N(J89))</f>
        <v/>
      </c>
      <c r="T89" s="27" t="str">
        <f aca="false">IF(R89="","",N(K89)*N(L89)*12)</f>
        <v/>
      </c>
      <c r="U89" s="27" t="str">
        <f aca="false">IF(R89="","",(N(M89)*Q89*HE_Fator+N(N89))*12)</f>
        <v/>
      </c>
      <c r="V89" s="28" t="str">
        <f aca="false">IF(R89="","",R89+S89+T89+U89)</f>
        <v/>
      </c>
      <c r="W89" s="15" t="str">
        <f aca="false">IF(V89="","",IF(V89&lt;=Faixa_1,1,IF(V89&lt;=Faixa_2,2,IF(V89&lt;=Faixa_3,3,IF(V89&lt;=Faixa_4,4,5)))))</f>
        <v/>
      </c>
      <c r="X89" s="16"/>
      <c r="Y89" s="16"/>
      <c r="Z89" s="16"/>
      <c r="AA89" s="16"/>
      <c r="AB89" s="16"/>
      <c r="AC89" s="16"/>
      <c r="AD89" s="16"/>
      <c r="AE89" s="16"/>
      <c r="AF89" s="15" t="str">
        <f aca="false">IF(AB89&lt;&gt;"",AB89,IF('MEUS PROCESSOS'!N89="Alto",Sug_Alto,IF('MEUS PROCESSOS'!N89="Médio",Sug_Medio,IF('MEUS PROCESSOS'!N89="Baixo",Sug_Baixo,""))))</f>
        <v/>
      </c>
      <c r="AG89" s="15" t="str">
        <f aca="false">IF(AC89&lt;&gt;"",AC89,IF('MEUS PROCESSOS'!O89="Alto",Sug_Alto,IF('MEUS PROCESSOS'!O89="Médio",Sug_Medio,IF('MEUS PROCESSOS'!O89="Baixo",Sug_Baixo,""))))</f>
        <v/>
      </c>
      <c r="AH89" s="15" t="str">
        <f aca="false">IF(B89="","",IF(AND(AB89&lt;&gt;"",AC89&lt;&gt;""),"Avaliado pela empresa",IF(AND(AB89="",AC89="",'MEUS PROCESSOS'!N89&lt;&gt;""),"Sugestão da biblioteca",IF('MEUS PROCESSOS'!N89&lt;&gt;"","Parcialmente sugerido",IF(AND(AB89="",AC89=""),"","Avaliado pela empresa")))))</f>
        <v/>
      </c>
      <c r="AI89" s="18" t="str">
        <f aca="false">IF(B89="","",IF(AND((COUNTBLANK(X89:AA89)+COUNTBLANK(AD89:AE89)+(AF89="")*1+(AG89="")*1)=0,W89&lt;&gt;""),"Completo","Incompleto — faltam "&amp;IF((COUNTBLANK(X89:AA89)+COUNTBLANK(AD89:AE89)+(AF89="")*1+(AG89="")*1)&gt;0,(COUNTBLANK(X89:AA89)+COUNTBLANK(AD89:AE89)+(AF89="")*1+(AG89="")*1)&amp;IF((COUNTBLANK(X89:AA89)+COUNTBLANK(AD89:AE89)+(AF89="")*1+(AG89="")*1)=1," avaliação"," avaliações"),"")&amp;IF(AND((COUNTBLANK(X89:AA89)+COUNTBLANK(AD89:AE89)+(AF89="")*1+(AG89="")*1)&gt;0,W89=""), " e ","")&amp;IF(W89="","os dados de custo","")))</f>
        <v/>
      </c>
      <c r="AJ89" s="29" t="str">
        <f aca="false">IF($AI89&lt;&gt;"Completo","",W_Custo*(W89-1)/4+W_Imp*(X89-1)/4)</f>
        <v/>
      </c>
      <c r="AK89" s="29" t="str">
        <f aca="false">IF($AI89&lt;&gt;"Completo","",W_Pot*(MAX(AF89,AG89)-1)/4+W_Rep*(Y89-1)/4+W_Pad*(Z89-1)/4+W_Vol*(AA89-1)/4)</f>
        <v/>
      </c>
      <c r="AL89" s="29" t="str">
        <f aca="false">IF($AI89&lt;&gt;"Completo","",(1-F_Pen*(AE89-1)/4)*(1-F_Pen*(AD89-1)/4))</f>
        <v/>
      </c>
      <c r="AM89" s="29" t="str">
        <f aca="false">IF($AI89&lt;&gt;"Completo","",SQRT(AK89*AL89))</f>
        <v/>
      </c>
      <c r="AN89" s="30" t="str">
        <f aca="false">IF($AI89&lt;&gt;"Completo","",100*AJ89^Exp_V*AM89^Exp_Vb)</f>
        <v/>
      </c>
      <c r="AO89" s="15" t="str">
        <f aca="false">IF(AN89="","",IF(AJ89&gt;=Corte,IF(AM89&gt;=Corte,"Fazer primeiro","Projeto estratégico"),IF(AM89&gt;=Corte,"Quick win","Evitar")))</f>
        <v/>
      </c>
      <c r="AP89" s="15" t="str">
        <f aca="false">IF(AN89="","",IF(OR(AD89&gt;=Trava_Nota,AE89&gt;=Trava_Nota),"SIM","—"))</f>
        <v/>
      </c>
      <c r="AQ89" s="15" t="str">
        <f aca="false">IF(AN89="","",IF(MAX(AF89,AG89)&lt;=Rota_Nota,"SIM","—"))</f>
        <v/>
      </c>
      <c r="AR89" s="15" t="str">
        <f aca="false">IF(AN89="","",IF(Z89&lt;=Rota_Nota,"SIM","—"))</f>
        <v/>
      </c>
      <c r="AS89" s="15" t="str">
        <f aca="false">IF(AN89="","",IF(AP89="SIM",IF(AJ89&gt;=Corte,"Projeto estratégico","Evitar"),AO89))</f>
        <v/>
      </c>
      <c r="AT89" s="15" t="str">
        <f aca="false">IF(AN89="","",IF(OR(AND(AJ89&gt;=Fr_Min,AJ89&lt;=Fr_Max),AND(AM89&gt;=Fr_Min,AM89&lt;=Fr_Max)),"Revisar",""))</f>
        <v/>
      </c>
      <c r="AU89" s="15" t="str">
        <f aca="false">IF(BE89="","",COUNTIF($BE$6:$BE$105,"&gt;"&amp;BE89)+1)</f>
        <v/>
      </c>
      <c r="AV89" s="16"/>
      <c r="AW89" s="15" t="str">
        <f aca="false">IF(B89="","",IF(AV89&lt;&gt;"",AV89,'MEUS PROCESSOS'!M89))</f>
        <v/>
      </c>
      <c r="AX89" s="23"/>
      <c r="AY89" s="31" t="str">
        <f aca="false">IF(AW89="","",IF(AX89&lt;&gt;"",AX89,IF(AW89="S",Red_S,IF(AW89="P",Red_P,IF(AW89="A",Red_A,IF(AW89="IA",Red_IA,""))))))</f>
        <v/>
      </c>
      <c r="AZ89" s="27" t="str">
        <f aca="false">IF(OR(V89="",AY89=""),"",(T89+U89)*AY89)</f>
        <v/>
      </c>
      <c r="BA89" s="27" t="str">
        <f aca="false">IF(OR(V89="",AY89=""),"",(R89+S89)*AY89)</f>
        <v/>
      </c>
      <c r="BB89" s="27" t="str">
        <f aca="false">IF(AZ89="","",AZ89+BA89)</f>
        <v/>
      </c>
      <c r="BC89" s="27" t="str">
        <f aca="false">IF(OR(P89="",AY89=""),"",(P89*(1+N(J89))+N(M89))*12*AY89)</f>
        <v/>
      </c>
      <c r="BD89" s="18" t="str">
        <f aca="false">IF(B89="","",IF(AND(AW89="E",AX89=""),"Eliminar: informe quanto do esforço atual deixa de existir (0% a 100%). Não há percentual inicial sugerido.",IF(AND(AX89="",AY89&lt;&gt;""),"Redução pela faixa inicial para simulação","")))</f>
        <v/>
      </c>
      <c r="BE89" s="19" t="str">
        <f aca="false">IF(AND(AN89&lt;&gt;"",D89=1),AN89+(1000-A89)/1000000,"")</f>
        <v/>
      </c>
    </row>
    <row r="90" customFormat="false" ht="15" hidden="false" customHeight="false" outlineLevel="0" collapsed="false">
      <c r="A90" s="15" t="n">
        <v>85</v>
      </c>
      <c r="B90" s="18" t="str">
        <f aca="false">IF('MEUS PROCESSOS'!J90="","",'MEUS PROCESSOS'!J90)</f>
        <v/>
      </c>
      <c r="C90" s="15" t="str">
        <f aca="false">IF('MEUS PROCESSOS'!K90="","",'MEUS PROCESSOS'!K90)</f>
        <v/>
      </c>
      <c r="D90" s="19" t="n">
        <f aca="false">'MEUS PROCESSOS'!Q90</f>
        <v>0</v>
      </c>
      <c r="E90" s="16"/>
      <c r="F90" s="16"/>
      <c r="G90" s="16"/>
      <c r="H90" s="16"/>
      <c r="I90" s="22"/>
      <c r="J90" s="23"/>
      <c r="K90" s="16"/>
      <c r="L90" s="24"/>
      <c r="M90" s="16"/>
      <c r="N90" s="24"/>
      <c r="O90" s="25" t="str">
        <f aca="false">IF(OR(E90="",F90=""),"",F90*IF(E90="Diária",Mult_Diaria,IF(E90="Semanal",Mult_Semanal,1)))</f>
        <v/>
      </c>
      <c r="P90" s="25" t="str">
        <f aca="false">IF(OR(O90="",G90="",H90=""),"",O90*G90/60*H90)</f>
        <v/>
      </c>
      <c r="Q90" s="26" t="str">
        <f aca="false">IF(I90&lt;&gt;"",I90,IF(Custo_Hora_Padrao&lt;&gt;"",Custo_Hora_Padrao,""))</f>
        <v/>
      </c>
      <c r="R90" s="27" t="str">
        <f aca="false">IF(OR(P90="",Q90=""),"",P90*Q90*12)</f>
        <v/>
      </c>
      <c r="S90" s="27" t="str">
        <f aca="false">IF(R90="","",R90*N(J90))</f>
        <v/>
      </c>
      <c r="T90" s="27" t="str">
        <f aca="false">IF(R90="","",N(K90)*N(L90)*12)</f>
        <v/>
      </c>
      <c r="U90" s="27" t="str">
        <f aca="false">IF(R90="","",(N(M90)*Q90*HE_Fator+N(N90))*12)</f>
        <v/>
      </c>
      <c r="V90" s="28" t="str">
        <f aca="false">IF(R90="","",R90+S90+T90+U90)</f>
        <v/>
      </c>
      <c r="W90" s="15" t="str">
        <f aca="false">IF(V90="","",IF(V90&lt;=Faixa_1,1,IF(V90&lt;=Faixa_2,2,IF(V90&lt;=Faixa_3,3,IF(V90&lt;=Faixa_4,4,5)))))</f>
        <v/>
      </c>
      <c r="X90" s="16"/>
      <c r="Y90" s="16"/>
      <c r="Z90" s="16"/>
      <c r="AA90" s="16"/>
      <c r="AB90" s="16"/>
      <c r="AC90" s="16"/>
      <c r="AD90" s="16"/>
      <c r="AE90" s="16"/>
      <c r="AF90" s="15" t="str">
        <f aca="false">IF(AB90&lt;&gt;"",AB90,IF('MEUS PROCESSOS'!N90="Alto",Sug_Alto,IF('MEUS PROCESSOS'!N90="Médio",Sug_Medio,IF('MEUS PROCESSOS'!N90="Baixo",Sug_Baixo,""))))</f>
        <v/>
      </c>
      <c r="AG90" s="15" t="str">
        <f aca="false">IF(AC90&lt;&gt;"",AC90,IF('MEUS PROCESSOS'!O90="Alto",Sug_Alto,IF('MEUS PROCESSOS'!O90="Médio",Sug_Medio,IF('MEUS PROCESSOS'!O90="Baixo",Sug_Baixo,""))))</f>
        <v/>
      </c>
      <c r="AH90" s="15" t="str">
        <f aca="false">IF(B90="","",IF(AND(AB90&lt;&gt;"",AC90&lt;&gt;""),"Avaliado pela empresa",IF(AND(AB90="",AC90="",'MEUS PROCESSOS'!N90&lt;&gt;""),"Sugestão da biblioteca",IF('MEUS PROCESSOS'!N90&lt;&gt;"","Parcialmente sugerido",IF(AND(AB90="",AC90=""),"","Avaliado pela empresa")))))</f>
        <v/>
      </c>
      <c r="AI90" s="18" t="str">
        <f aca="false">IF(B90="","",IF(AND((COUNTBLANK(X90:AA90)+COUNTBLANK(AD90:AE90)+(AF90="")*1+(AG90="")*1)=0,W90&lt;&gt;""),"Completo","Incompleto — faltam "&amp;IF((COUNTBLANK(X90:AA90)+COUNTBLANK(AD90:AE90)+(AF90="")*1+(AG90="")*1)&gt;0,(COUNTBLANK(X90:AA90)+COUNTBLANK(AD90:AE90)+(AF90="")*1+(AG90="")*1)&amp;IF((COUNTBLANK(X90:AA90)+COUNTBLANK(AD90:AE90)+(AF90="")*1+(AG90="")*1)=1," avaliação"," avaliações"),"")&amp;IF(AND((COUNTBLANK(X90:AA90)+COUNTBLANK(AD90:AE90)+(AF90="")*1+(AG90="")*1)&gt;0,W90=""), " e ","")&amp;IF(W90="","os dados de custo","")))</f>
        <v/>
      </c>
      <c r="AJ90" s="29" t="str">
        <f aca="false">IF($AI90&lt;&gt;"Completo","",W_Custo*(W90-1)/4+W_Imp*(X90-1)/4)</f>
        <v/>
      </c>
      <c r="AK90" s="29" t="str">
        <f aca="false">IF($AI90&lt;&gt;"Completo","",W_Pot*(MAX(AF90,AG90)-1)/4+W_Rep*(Y90-1)/4+W_Pad*(Z90-1)/4+W_Vol*(AA90-1)/4)</f>
        <v/>
      </c>
      <c r="AL90" s="29" t="str">
        <f aca="false">IF($AI90&lt;&gt;"Completo","",(1-F_Pen*(AE90-1)/4)*(1-F_Pen*(AD90-1)/4))</f>
        <v/>
      </c>
      <c r="AM90" s="29" t="str">
        <f aca="false">IF($AI90&lt;&gt;"Completo","",SQRT(AK90*AL90))</f>
        <v/>
      </c>
      <c r="AN90" s="30" t="str">
        <f aca="false">IF($AI90&lt;&gt;"Completo","",100*AJ90^Exp_V*AM90^Exp_Vb)</f>
        <v/>
      </c>
      <c r="AO90" s="15" t="str">
        <f aca="false">IF(AN90="","",IF(AJ90&gt;=Corte,IF(AM90&gt;=Corte,"Fazer primeiro","Projeto estratégico"),IF(AM90&gt;=Corte,"Quick win","Evitar")))</f>
        <v/>
      </c>
      <c r="AP90" s="15" t="str">
        <f aca="false">IF(AN90="","",IF(OR(AD90&gt;=Trava_Nota,AE90&gt;=Trava_Nota),"SIM","—"))</f>
        <v/>
      </c>
      <c r="AQ90" s="15" t="str">
        <f aca="false">IF(AN90="","",IF(MAX(AF90,AG90)&lt;=Rota_Nota,"SIM","—"))</f>
        <v/>
      </c>
      <c r="AR90" s="15" t="str">
        <f aca="false">IF(AN90="","",IF(Z90&lt;=Rota_Nota,"SIM","—"))</f>
        <v/>
      </c>
      <c r="AS90" s="15" t="str">
        <f aca="false">IF(AN90="","",IF(AP90="SIM",IF(AJ90&gt;=Corte,"Projeto estratégico","Evitar"),AO90))</f>
        <v/>
      </c>
      <c r="AT90" s="15" t="str">
        <f aca="false">IF(AN90="","",IF(OR(AND(AJ90&gt;=Fr_Min,AJ90&lt;=Fr_Max),AND(AM90&gt;=Fr_Min,AM90&lt;=Fr_Max)),"Revisar",""))</f>
        <v/>
      </c>
      <c r="AU90" s="15" t="str">
        <f aca="false">IF(BE90="","",COUNTIF($BE$6:$BE$105,"&gt;"&amp;BE90)+1)</f>
        <v/>
      </c>
      <c r="AV90" s="16"/>
      <c r="AW90" s="15" t="str">
        <f aca="false">IF(B90="","",IF(AV90&lt;&gt;"",AV90,'MEUS PROCESSOS'!M90))</f>
        <v/>
      </c>
      <c r="AX90" s="23"/>
      <c r="AY90" s="31" t="str">
        <f aca="false">IF(AW90="","",IF(AX90&lt;&gt;"",AX90,IF(AW90="S",Red_S,IF(AW90="P",Red_P,IF(AW90="A",Red_A,IF(AW90="IA",Red_IA,""))))))</f>
        <v/>
      </c>
      <c r="AZ90" s="27" t="str">
        <f aca="false">IF(OR(V90="",AY90=""),"",(T90+U90)*AY90)</f>
        <v/>
      </c>
      <c r="BA90" s="27" t="str">
        <f aca="false">IF(OR(V90="",AY90=""),"",(R90+S90)*AY90)</f>
        <v/>
      </c>
      <c r="BB90" s="27" t="str">
        <f aca="false">IF(AZ90="","",AZ90+BA90)</f>
        <v/>
      </c>
      <c r="BC90" s="27" t="str">
        <f aca="false">IF(OR(P90="",AY90=""),"",(P90*(1+N(J90))+N(M90))*12*AY90)</f>
        <v/>
      </c>
      <c r="BD90" s="18" t="str">
        <f aca="false">IF(B90="","",IF(AND(AW90="E",AX90=""),"Eliminar: informe quanto do esforço atual deixa de existir (0% a 100%). Não há percentual inicial sugerido.",IF(AND(AX90="",AY90&lt;&gt;""),"Redução pela faixa inicial para simulação","")))</f>
        <v/>
      </c>
      <c r="BE90" s="19" t="str">
        <f aca="false">IF(AND(AN90&lt;&gt;"",D90=1),AN90+(1000-A90)/1000000,"")</f>
        <v/>
      </c>
    </row>
    <row r="91" customFormat="false" ht="15" hidden="false" customHeight="false" outlineLevel="0" collapsed="false">
      <c r="A91" s="15" t="n">
        <v>86</v>
      </c>
      <c r="B91" s="18" t="str">
        <f aca="false">IF('MEUS PROCESSOS'!J91="","",'MEUS PROCESSOS'!J91)</f>
        <v/>
      </c>
      <c r="C91" s="15" t="str">
        <f aca="false">IF('MEUS PROCESSOS'!K91="","",'MEUS PROCESSOS'!K91)</f>
        <v/>
      </c>
      <c r="D91" s="19" t="n">
        <f aca="false">'MEUS PROCESSOS'!Q91</f>
        <v>0</v>
      </c>
      <c r="E91" s="16"/>
      <c r="F91" s="16"/>
      <c r="G91" s="16"/>
      <c r="H91" s="16"/>
      <c r="I91" s="22"/>
      <c r="J91" s="23"/>
      <c r="K91" s="16"/>
      <c r="L91" s="24"/>
      <c r="M91" s="16"/>
      <c r="N91" s="24"/>
      <c r="O91" s="25" t="str">
        <f aca="false">IF(OR(E91="",F91=""),"",F91*IF(E91="Diária",Mult_Diaria,IF(E91="Semanal",Mult_Semanal,1)))</f>
        <v/>
      </c>
      <c r="P91" s="25" t="str">
        <f aca="false">IF(OR(O91="",G91="",H91=""),"",O91*G91/60*H91)</f>
        <v/>
      </c>
      <c r="Q91" s="26" t="str">
        <f aca="false">IF(I91&lt;&gt;"",I91,IF(Custo_Hora_Padrao&lt;&gt;"",Custo_Hora_Padrao,""))</f>
        <v/>
      </c>
      <c r="R91" s="27" t="str">
        <f aca="false">IF(OR(P91="",Q91=""),"",P91*Q91*12)</f>
        <v/>
      </c>
      <c r="S91" s="27" t="str">
        <f aca="false">IF(R91="","",R91*N(J91))</f>
        <v/>
      </c>
      <c r="T91" s="27" t="str">
        <f aca="false">IF(R91="","",N(K91)*N(L91)*12)</f>
        <v/>
      </c>
      <c r="U91" s="27" t="str">
        <f aca="false">IF(R91="","",(N(M91)*Q91*HE_Fator+N(N91))*12)</f>
        <v/>
      </c>
      <c r="V91" s="28" t="str">
        <f aca="false">IF(R91="","",R91+S91+T91+U91)</f>
        <v/>
      </c>
      <c r="W91" s="15" t="str">
        <f aca="false">IF(V91="","",IF(V91&lt;=Faixa_1,1,IF(V91&lt;=Faixa_2,2,IF(V91&lt;=Faixa_3,3,IF(V91&lt;=Faixa_4,4,5)))))</f>
        <v/>
      </c>
      <c r="X91" s="16"/>
      <c r="Y91" s="16"/>
      <c r="Z91" s="16"/>
      <c r="AA91" s="16"/>
      <c r="AB91" s="16"/>
      <c r="AC91" s="16"/>
      <c r="AD91" s="16"/>
      <c r="AE91" s="16"/>
      <c r="AF91" s="15" t="str">
        <f aca="false">IF(AB91&lt;&gt;"",AB91,IF('MEUS PROCESSOS'!N91="Alto",Sug_Alto,IF('MEUS PROCESSOS'!N91="Médio",Sug_Medio,IF('MEUS PROCESSOS'!N91="Baixo",Sug_Baixo,""))))</f>
        <v/>
      </c>
      <c r="AG91" s="15" t="str">
        <f aca="false">IF(AC91&lt;&gt;"",AC91,IF('MEUS PROCESSOS'!O91="Alto",Sug_Alto,IF('MEUS PROCESSOS'!O91="Médio",Sug_Medio,IF('MEUS PROCESSOS'!O91="Baixo",Sug_Baixo,""))))</f>
        <v/>
      </c>
      <c r="AH91" s="15" t="str">
        <f aca="false">IF(B91="","",IF(AND(AB91&lt;&gt;"",AC91&lt;&gt;""),"Avaliado pela empresa",IF(AND(AB91="",AC91="",'MEUS PROCESSOS'!N91&lt;&gt;""),"Sugestão da biblioteca",IF('MEUS PROCESSOS'!N91&lt;&gt;"","Parcialmente sugerido",IF(AND(AB91="",AC91=""),"","Avaliado pela empresa")))))</f>
        <v/>
      </c>
      <c r="AI91" s="18" t="str">
        <f aca="false">IF(B91="","",IF(AND((COUNTBLANK(X91:AA91)+COUNTBLANK(AD91:AE91)+(AF91="")*1+(AG91="")*1)=0,W91&lt;&gt;""),"Completo","Incompleto — faltam "&amp;IF((COUNTBLANK(X91:AA91)+COUNTBLANK(AD91:AE91)+(AF91="")*1+(AG91="")*1)&gt;0,(COUNTBLANK(X91:AA91)+COUNTBLANK(AD91:AE91)+(AF91="")*1+(AG91="")*1)&amp;IF((COUNTBLANK(X91:AA91)+COUNTBLANK(AD91:AE91)+(AF91="")*1+(AG91="")*1)=1," avaliação"," avaliações"),"")&amp;IF(AND((COUNTBLANK(X91:AA91)+COUNTBLANK(AD91:AE91)+(AF91="")*1+(AG91="")*1)&gt;0,W91=""), " e ","")&amp;IF(W91="","os dados de custo","")))</f>
        <v/>
      </c>
      <c r="AJ91" s="29" t="str">
        <f aca="false">IF($AI91&lt;&gt;"Completo","",W_Custo*(W91-1)/4+W_Imp*(X91-1)/4)</f>
        <v/>
      </c>
      <c r="AK91" s="29" t="str">
        <f aca="false">IF($AI91&lt;&gt;"Completo","",W_Pot*(MAX(AF91,AG91)-1)/4+W_Rep*(Y91-1)/4+W_Pad*(Z91-1)/4+W_Vol*(AA91-1)/4)</f>
        <v/>
      </c>
      <c r="AL91" s="29" t="str">
        <f aca="false">IF($AI91&lt;&gt;"Completo","",(1-F_Pen*(AE91-1)/4)*(1-F_Pen*(AD91-1)/4))</f>
        <v/>
      </c>
      <c r="AM91" s="29" t="str">
        <f aca="false">IF($AI91&lt;&gt;"Completo","",SQRT(AK91*AL91))</f>
        <v/>
      </c>
      <c r="AN91" s="30" t="str">
        <f aca="false">IF($AI91&lt;&gt;"Completo","",100*AJ91^Exp_V*AM91^Exp_Vb)</f>
        <v/>
      </c>
      <c r="AO91" s="15" t="str">
        <f aca="false">IF(AN91="","",IF(AJ91&gt;=Corte,IF(AM91&gt;=Corte,"Fazer primeiro","Projeto estratégico"),IF(AM91&gt;=Corte,"Quick win","Evitar")))</f>
        <v/>
      </c>
      <c r="AP91" s="15" t="str">
        <f aca="false">IF(AN91="","",IF(OR(AD91&gt;=Trava_Nota,AE91&gt;=Trava_Nota),"SIM","—"))</f>
        <v/>
      </c>
      <c r="AQ91" s="15" t="str">
        <f aca="false">IF(AN91="","",IF(MAX(AF91,AG91)&lt;=Rota_Nota,"SIM","—"))</f>
        <v/>
      </c>
      <c r="AR91" s="15" t="str">
        <f aca="false">IF(AN91="","",IF(Z91&lt;=Rota_Nota,"SIM","—"))</f>
        <v/>
      </c>
      <c r="AS91" s="15" t="str">
        <f aca="false">IF(AN91="","",IF(AP91="SIM",IF(AJ91&gt;=Corte,"Projeto estratégico","Evitar"),AO91))</f>
        <v/>
      </c>
      <c r="AT91" s="15" t="str">
        <f aca="false">IF(AN91="","",IF(OR(AND(AJ91&gt;=Fr_Min,AJ91&lt;=Fr_Max),AND(AM91&gt;=Fr_Min,AM91&lt;=Fr_Max)),"Revisar",""))</f>
        <v/>
      </c>
      <c r="AU91" s="15" t="str">
        <f aca="false">IF(BE91="","",COUNTIF($BE$6:$BE$105,"&gt;"&amp;BE91)+1)</f>
        <v/>
      </c>
      <c r="AV91" s="16"/>
      <c r="AW91" s="15" t="str">
        <f aca="false">IF(B91="","",IF(AV91&lt;&gt;"",AV91,'MEUS PROCESSOS'!M91))</f>
        <v/>
      </c>
      <c r="AX91" s="23"/>
      <c r="AY91" s="31" t="str">
        <f aca="false">IF(AW91="","",IF(AX91&lt;&gt;"",AX91,IF(AW91="S",Red_S,IF(AW91="P",Red_P,IF(AW91="A",Red_A,IF(AW91="IA",Red_IA,""))))))</f>
        <v/>
      </c>
      <c r="AZ91" s="27" t="str">
        <f aca="false">IF(OR(V91="",AY91=""),"",(T91+U91)*AY91)</f>
        <v/>
      </c>
      <c r="BA91" s="27" t="str">
        <f aca="false">IF(OR(V91="",AY91=""),"",(R91+S91)*AY91)</f>
        <v/>
      </c>
      <c r="BB91" s="27" t="str">
        <f aca="false">IF(AZ91="","",AZ91+BA91)</f>
        <v/>
      </c>
      <c r="BC91" s="27" t="str">
        <f aca="false">IF(OR(P91="",AY91=""),"",(P91*(1+N(J91))+N(M91))*12*AY91)</f>
        <v/>
      </c>
      <c r="BD91" s="18" t="str">
        <f aca="false">IF(B91="","",IF(AND(AW91="E",AX91=""),"Eliminar: informe quanto do esforço atual deixa de existir (0% a 100%). Não há percentual inicial sugerido.",IF(AND(AX91="",AY91&lt;&gt;""),"Redução pela faixa inicial para simulação","")))</f>
        <v/>
      </c>
      <c r="BE91" s="19" t="str">
        <f aca="false">IF(AND(AN91&lt;&gt;"",D91=1),AN91+(1000-A91)/1000000,"")</f>
        <v/>
      </c>
    </row>
    <row r="92" customFormat="false" ht="15" hidden="false" customHeight="false" outlineLevel="0" collapsed="false">
      <c r="A92" s="15" t="n">
        <v>87</v>
      </c>
      <c r="B92" s="18" t="str">
        <f aca="false">IF('MEUS PROCESSOS'!J92="","",'MEUS PROCESSOS'!J92)</f>
        <v/>
      </c>
      <c r="C92" s="15" t="str">
        <f aca="false">IF('MEUS PROCESSOS'!K92="","",'MEUS PROCESSOS'!K92)</f>
        <v/>
      </c>
      <c r="D92" s="19" t="n">
        <f aca="false">'MEUS PROCESSOS'!Q92</f>
        <v>0</v>
      </c>
      <c r="E92" s="16"/>
      <c r="F92" s="16"/>
      <c r="G92" s="16"/>
      <c r="H92" s="16"/>
      <c r="I92" s="22"/>
      <c r="J92" s="23"/>
      <c r="K92" s="16"/>
      <c r="L92" s="24"/>
      <c r="M92" s="16"/>
      <c r="N92" s="24"/>
      <c r="O92" s="25" t="str">
        <f aca="false">IF(OR(E92="",F92=""),"",F92*IF(E92="Diária",Mult_Diaria,IF(E92="Semanal",Mult_Semanal,1)))</f>
        <v/>
      </c>
      <c r="P92" s="25" t="str">
        <f aca="false">IF(OR(O92="",G92="",H92=""),"",O92*G92/60*H92)</f>
        <v/>
      </c>
      <c r="Q92" s="26" t="str">
        <f aca="false">IF(I92&lt;&gt;"",I92,IF(Custo_Hora_Padrao&lt;&gt;"",Custo_Hora_Padrao,""))</f>
        <v/>
      </c>
      <c r="R92" s="27" t="str">
        <f aca="false">IF(OR(P92="",Q92=""),"",P92*Q92*12)</f>
        <v/>
      </c>
      <c r="S92" s="27" t="str">
        <f aca="false">IF(R92="","",R92*N(J92))</f>
        <v/>
      </c>
      <c r="T92" s="27" t="str">
        <f aca="false">IF(R92="","",N(K92)*N(L92)*12)</f>
        <v/>
      </c>
      <c r="U92" s="27" t="str">
        <f aca="false">IF(R92="","",(N(M92)*Q92*HE_Fator+N(N92))*12)</f>
        <v/>
      </c>
      <c r="V92" s="28" t="str">
        <f aca="false">IF(R92="","",R92+S92+T92+U92)</f>
        <v/>
      </c>
      <c r="W92" s="15" t="str">
        <f aca="false">IF(V92="","",IF(V92&lt;=Faixa_1,1,IF(V92&lt;=Faixa_2,2,IF(V92&lt;=Faixa_3,3,IF(V92&lt;=Faixa_4,4,5)))))</f>
        <v/>
      </c>
      <c r="X92" s="16"/>
      <c r="Y92" s="16"/>
      <c r="Z92" s="16"/>
      <c r="AA92" s="16"/>
      <c r="AB92" s="16"/>
      <c r="AC92" s="16"/>
      <c r="AD92" s="16"/>
      <c r="AE92" s="16"/>
      <c r="AF92" s="15" t="str">
        <f aca="false">IF(AB92&lt;&gt;"",AB92,IF('MEUS PROCESSOS'!N92="Alto",Sug_Alto,IF('MEUS PROCESSOS'!N92="Médio",Sug_Medio,IF('MEUS PROCESSOS'!N92="Baixo",Sug_Baixo,""))))</f>
        <v/>
      </c>
      <c r="AG92" s="15" t="str">
        <f aca="false">IF(AC92&lt;&gt;"",AC92,IF('MEUS PROCESSOS'!O92="Alto",Sug_Alto,IF('MEUS PROCESSOS'!O92="Médio",Sug_Medio,IF('MEUS PROCESSOS'!O92="Baixo",Sug_Baixo,""))))</f>
        <v/>
      </c>
      <c r="AH92" s="15" t="str">
        <f aca="false">IF(B92="","",IF(AND(AB92&lt;&gt;"",AC92&lt;&gt;""),"Avaliado pela empresa",IF(AND(AB92="",AC92="",'MEUS PROCESSOS'!N92&lt;&gt;""),"Sugestão da biblioteca",IF('MEUS PROCESSOS'!N92&lt;&gt;"","Parcialmente sugerido",IF(AND(AB92="",AC92=""),"","Avaliado pela empresa")))))</f>
        <v/>
      </c>
      <c r="AI92" s="18" t="str">
        <f aca="false">IF(B92="","",IF(AND((COUNTBLANK(X92:AA92)+COUNTBLANK(AD92:AE92)+(AF92="")*1+(AG92="")*1)=0,W92&lt;&gt;""),"Completo","Incompleto — faltam "&amp;IF((COUNTBLANK(X92:AA92)+COUNTBLANK(AD92:AE92)+(AF92="")*1+(AG92="")*1)&gt;0,(COUNTBLANK(X92:AA92)+COUNTBLANK(AD92:AE92)+(AF92="")*1+(AG92="")*1)&amp;IF((COUNTBLANK(X92:AA92)+COUNTBLANK(AD92:AE92)+(AF92="")*1+(AG92="")*1)=1," avaliação"," avaliações"),"")&amp;IF(AND((COUNTBLANK(X92:AA92)+COUNTBLANK(AD92:AE92)+(AF92="")*1+(AG92="")*1)&gt;0,W92=""), " e ","")&amp;IF(W92="","os dados de custo","")))</f>
        <v/>
      </c>
      <c r="AJ92" s="29" t="str">
        <f aca="false">IF($AI92&lt;&gt;"Completo","",W_Custo*(W92-1)/4+W_Imp*(X92-1)/4)</f>
        <v/>
      </c>
      <c r="AK92" s="29" t="str">
        <f aca="false">IF($AI92&lt;&gt;"Completo","",W_Pot*(MAX(AF92,AG92)-1)/4+W_Rep*(Y92-1)/4+W_Pad*(Z92-1)/4+W_Vol*(AA92-1)/4)</f>
        <v/>
      </c>
      <c r="AL92" s="29" t="str">
        <f aca="false">IF($AI92&lt;&gt;"Completo","",(1-F_Pen*(AE92-1)/4)*(1-F_Pen*(AD92-1)/4))</f>
        <v/>
      </c>
      <c r="AM92" s="29" t="str">
        <f aca="false">IF($AI92&lt;&gt;"Completo","",SQRT(AK92*AL92))</f>
        <v/>
      </c>
      <c r="AN92" s="30" t="str">
        <f aca="false">IF($AI92&lt;&gt;"Completo","",100*AJ92^Exp_V*AM92^Exp_Vb)</f>
        <v/>
      </c>
      <c r="AO92" s="15" t="str">
        <f aca="false">IF(AN92="","",IF(AJ92&gt;=Corte,IF(AM92&gt;=Corte,"Fazer primeiro","Projeto estratégico"),IF(AM92&gt;=Corte,"Quick win","Evitar")))</f>
        <v/>
      </c>
      <c r="AP92" s="15" t="str">
        <f aca="false">IF(AN92="","",IF(OR(AD92&gt;=Trava_Nota,AE92&gt;=Trava_Nota),"SIM","—"))</f>
        <v/>
      </c>
      <c r="AQ92" s="15" t="str">
        <f aca="false">IF(AN92="","",IF(MAX(AF92,AG92)&lt;=Rota_Nota,"SIM","—"))</f>
        <v/>
      </c>
      <c r="AR92" s="15" t="str">
        <f aca="false">IF(AN92="","",IF(Z92&lt;=Rota_Nota,"SIM","—"))</f>
        <v/>
      </c>
      <c r="AS92" s="15" t="str">
        <f aca="false">IF(AN92="","",IF(AP92="SIM",IF(AJ92&gt;=Corte,"Projeto estratégico","Evitar"),AO92))</f>
        <v/>
      </c>
      <c r="AT92" s="15" t="str">
        <f aca="false">IF(AN92="","",IF(OR(AND(AJ92&gt;=Fr_Min,AJ92&lt;=Fr_Max),AND(AM92&gt;=Fr_Min,AM92&lt;=Fr_Max)),"Revisar",""))</f>
        <v/>
      </c>
      <c r="AU92" s="15" t="str">
        <f aca="false">IF(BE92="","",COUNTIF($BE$6:$BE$105,"&gt;"&amp;BE92)+1)</f>
        <v/>
      </c>
      <c r="AV92" s="16"/>
      <c r="AW92" s="15" t="str">
        <f aca="false">IF(B92="","",IF(AV92&lt;&gt;"",AV92,'MEUS PROCESSOS'!M92))</f>
        <v/>
      </c>
      <c r="AX92" s="23"/>
      <c r="AY92" s="31" t="str">
        <f aca="false">IF(AW92="","",IF(AX92&lt;&gt;"",AX92,IF(AW92="S",Red_S,IF(AW92="P",Red_P,IF(AW92="A",Red_A,IF(AW92="IA",Red_IA,""))))))</f>
        <v/>
      </c>
      <c r="AZ92" s="27" t="str">
        <f aca="false">IF(OR(V92="",AY92=""),"",(T92+U92)*AY92)</f>
        <v/>
      </c>
      <c r="BA92" s="27" t="str">
        <f aca="false">IF(OR(V92="",AY92=""),"",(R92+S92)*AY92)</f>
        <v/>
      </c>
      <c r="BB92" s="27" t="str">
        <f aca="false">IF(AZ92="","",AZ92+BA92)</f>
        <v/>
      </c>
      <c r="BC92" s="27" t="str">
        <f aca="false">IF(OR(P92="",AY92=""),"",(P92*(1+N(J92))+N(M92))*12*AY92)</f>
        <v/>
      </c>
      <c r="BD92" s="18" t="str">
        <f aca="false">IF(B92="","",IF(AND(AW92="E",AX92=""),"Eliminar: informe quanto do esforço atual deixa de existir (0% a 100%). Não há percentual inicial sugerido.",IF(AND(AX92="",AY92&lt;&gt;""),"Redução pela faixa inicial para simulação","")))</f>
        <v/>
      </c>
      <c r="BE92" s="19" t="str">
        <f aca="false">IF(AND(AN92&lt;&gt;"",D92=1),AN92+(1000-A92)/1000000,"")</f>
        <v/>
      </c>
    </row>
    <row r="93" customFormat="false" ht="15" hidden="false" customHeight="false" outlineLevel="0" collapsed="false">
      <c r="A93" s="15" t="n">
        <v>88</v>
      </c>
      <c r="B93" s="18" t="str">
        <f aca="false">IF('MEUS PROCESSOS'!J93="","",'MEUS PROCESSOS'!J93)</f>
        <v/>
      </c>
      <c r="C93" s="15" t="str">
        <f aca="false">IF('MEUS PROCESSOS'!K93="","",'MEUS PROCESSOS'!K93)</f>
        <v/>
      </c>
      <c r="D93" s="19" t="n">
        <f aca="false">'MEUS PROCESSOS'!Q93</f>
        <v>0</v>
      </c>
      <c r="E93" s="16"/>
      <c r="F93" s="16"/>
      <c r="G93" s="16"/>
      <c r="H93" s="16"/>
      <c r="I93" s="22"/>
      <c r="J93" s="23"/>
      <c r="K93" s="16"/>
      <c r="L93" s="24"/>
      <c r="M93" s="16"/>
      <c r="N93" s="24"/>
      <c r="O93" s="25" t="str">
        <f aca="false">IF(OR(E93="",F93=""),"",F93*IF(E93="Diária",Mult_Diaria,IF(E93="Semanal",Mult_Semanal,1)))</f>
        <v/>
      </c>
      <c r="P93" s="25" t="str">
        <f aca="false">IF(OR(O93="",G93="",H93=""),"",O93*G93/60*H93)</f>
        <v/>
      </c>
      <c r="Q93" s="26" t="str">
        <f aca="false">IF(I93&lt;&gt;"",I93,IF(Custo_Hora_Padrao&lt;&gt;"",Custo_Hora_Padrao,""))</f>
        <v/>
      </c>
      <c r="R93" s="27" t="str">
        <f aca="false">IF(OR(P93="",Q93=""),"",P93*Q93*12)</f>
        <v/>
      </c>
      <c r="S93" s="27" t="str">
        <f aca="false">IF(R93="","",R93*N(J93))</f>
        <v/>
      </c>
      <c r="T93" s="27" t="str">
        <f aca="false">IF(R93="","",N(K93)*N(L93)*12)</f>
        <v/>
      </c>
      <c r="U93" s="27" t="str">
        <f aca="false">IF(R93="","",(N(M93)*Q93*HE_Fator+N(N93))*12)</f>
        <v/>
      </c>
      <c r="V93" s="28" t="str">
        <f aca="false">IF(R93="","",R93+S93+T93+U93)</f>
        <v/>
      </c>
      <c r="W93" s="15" t="str">
        <f aca="false">IF(V93="","",IF(V93&lt;=Faixa_1,1,IF(V93&lt;=Faixa_2,2,IF(V93&lt;=Faixa_3,3,IF(V93&lt;=Faixa_4,4,5)))))</f>
        <v/>
      </c>
      <c r="X93" s="16"/>
      <c r="Y93" s="16"/>
      <c r="Z93" s="16"/>
      <c r="AA93" s="16"/>
      <c r="AB93" s="16"/>
      <c r="AC93" s="16"/>
      <c r="AD93" s="16"/>
      <c r="AE93" s="16"/>
      <c r="AF93" s="15" t="str">
        <f aca="false">IF(AB93&lt;&gt;"",AB93,IF('MEUS PROCESSOS'!N93="Alto",Sug_Alto,IF('MEUS PROCESSOS'!N93="Médio",Sug_Medio,IF('MEUS PROCESSOS'!N93="Baixo",Sug_Baixo,""))))</f>
        <v/>
      </c>
      <c r="AG93" s="15" t="str">
        <f aca="false">IF(AC93&lt;&gt;"",AC93,IF('MEUS PROCESSOS'!O93="Alto",Sug_Alto,IF('MEUS PROCESSOS'!O93="Médio",Sug_Medio,IF('MEUS PROCESSOS'!O93="Baixo",Sug_Baixo,""))))</f>
        <v/>
      </c>
      <c r="AH93" s="15" t="str">
        <f aca="false">IF(B93="","",IF(AND(AB93&lt;&gt;"",AC93&lt;&gt;""),"Avaliado pela empresa",IF(AND(AB93="",AC93="",'MEUS PROCESSOS'!N93&lt;&gt;""),"Sugestão da biblioteca",IF('MEUS PROCESSOS'!N93&lt;&gt;"","Parcialmente sugerido",IF(AND(AB93="",AC93=""),"","Avaliado pela empresa")))))</f>
        <v/>
      </c>
      <c r="AI93" s="18" t="str">
        <f aca="false">IF(B93="","",IF(AND((COUNTBLANK(X93:AA93)+COUNTBLANK(AD93:AE93)+(AF93="")*1+(AG93="")*1)=0,W93&lt;&gt;""),"Completo","Incompleto — faltam "&amp;IF((COUNTBLANK(X93:AA93)+COUNTBLANK(AD93:AE93)+(AF93="")*1+(AG93="")*1)&gt;0,(COUNTBLANK(X93:AA93)+COUNTBLANK(AD93:AE93)+(AF93="")*1+(AG93="")*1)&amp;IF((COUNTBLANK(X93:AA93)+COUNTBLANK(AD93:AE93)+(AF93="")*1+(AG93="")*1)=1," avaliação"," avaliações"),"")&amp;IF(AND((COUNTBLANK(X93:AA93)+COUNTBLANK(AD93:AE93)+(AF93="")*1+(AG93="")*1)&gt;0,W93=""), " e ","")&amp;IF(W93="","os dados de custo","")))</f>
        <v/>
      </c>
      <c r="AJ93" s="29" t="str">
        <f aca="false">IF($AI93&lt;&gt;"Completo","",W_Custo*(W93-1)/4+W_Imp*(X93-1)/4)</f>
        <v/>
      </c>
      <c r="AK93" s="29" t="str">
        <f aca="false">IF($AI93&lt;&gt;"Completo","",W_Pot*(MAX(AF93,AG93)-1)/4+W_Rep*(Y93-1)/4+W_Pad*(Z93-1)/4+W_Vol*(AA93-1)/4)</f>
        <v/>
      </c>
      <c r="AL93" s="29" t="str">
        <f aca="false">IF($AI93&lt;&gt;"Completo","",(1-F_Pen*(AE93-1)/4)*(1-F_Pen*(AD93-1)/4))</f>
        <v/>
      </c>
      <c r="AM93" s="29" t="str">
        <f aca="false">IF($AI93&lt;&gt;"Completo","",SQRT(AK93*AL93))</f>
        <v/>
      </c>
      <c r="AN93" s="30" t="str">
        <f aca="false">IF($AI93&lt;&gt;"Completo","",100*AJ93^Exp_V*AM93^Exp_Vb)</f>
        <v/>
      </c>
      <c r="AO93" s="15" t="str">
        <f aca="false">IF(AN93="","",IF(AJ93&gt;=Corte,IF(AM93&gt;=Corte,"Fazer primeiro","Projeto estratégico"),IF(AM93&gt;=Corte,"Quick win","Evitar")))</f>
        <v/>
      </c>
      <c r="AP93" s="15" t="str">
        <f aca="false">IF(AN93="","",IF(OR(AD93&gt;=Trava_Nota,AE93&gt;=Trava_Nota),"SIM","—"))</f>
        <v/>
      </c>
      <c r="AQ93" s="15" t="str">
        <f aca="false">IF(AN93="","",IF(MAX(AF93,AG93)&lt;=Rota_Nota,"SIM","—"))</f>
        <v/>
      </c>
      <c r="AR93" s="15" t="str">
        <f aca="false">IF(AN93="","",IF(Z93&lt;=Rota_Nota,"SIM","—"))</f>
        <v/>
      </c>
      <c r="AS93" s="15" t="str">
        <f aca="false">IF(AN93="","",IF(AP93="SIM",IF(AJ93&gt;=Corte,"Projeto estratégico","Evitar"),AO93))</f>
        <v/>
      </c>
      <c r="AT93" s="15" t="str">
        <f aca="false">IF(AN93="","",IF(OR(AND(AJ93&gt;=Fr_Min,AJ93&lt;=Fr_Max),AND(AM93&gt;=Fr_Min,AM93&lt;=Fr_Max)),"Revisar",""))</f>
        <v/>
      </c>
      <c r="AU93" s="15" t="str">
        <f aca="false">IF(BE93="","",COUNTIF($BE$6:$BE$105,"&gt;"&amp;BE93)+1)</f>
        <v/>
      </c>
      <c r="AV93" s="16"/>
      <c r="AW93" s="15" t="str">
        <f aca="false">IF(B93="","",IF(AV93&lt;&gt;"",AV93,'MEUS PROCESSOS'!M93))</f>
        <v/>
      </c>
      <c r="AX93" s="23"/>
      <c r="AY93" s="31" t="str">
        <f aca="false">IF(AW93="","",IF(AX93&lt;&gt;"",AX93,IF(AW93="S",Red_S,IF(AW93="P",Red_P,IF(AW93="A",Red_A,IF(AW93="IA",Red_IA,""))))))</f>
        <v/>
      </c>
      <c r="AZ93" s="27" t="str">
        <f aca="false">IF(OR(V93="",AY93=""),"",(T93+U93)*AY93)</f>
        <v/>
      </c>
      <c r="BA93" s="27" t="str">
        <f aca="false">IF(OR(V93="",AY93=""),"",(R93+S93)*AY93)</f>
        <v/>
      </c>
      <c r="BB93" s="27" t="str">
        <f aca="false">IF(AZ93="","",AZ93+BA93)</f>
        <v/>
      </c>
      <c r="BC93" s="27" t="str">
        <f aca="false">IF(OR(P93="",AY93=""),"",(P93*(1+N(J93))+N(M93))*12*AY93)</f>
        <v/>
      </c>
      <c r="BD93" s="18" t="str">
        <f aca="false">IF(B93="","",IF(AND(AW93="E",AX93=""),"Eliminar: informe quanto do esforço atual deixa de existir (0% a 100%). Não há percentual inicial sugerido.",IF(AND(AX93="",AY93&lt;&gt;""),"Redução pela faixa inicial para simulação","")))</f>
        <v/>
      </c>
      <c r="BE93" s="19" t="str">
        <f aca="false">IF(AND(AN93&lt;&gt;"",D93=1),AN93+(1000-A93)/1000000,"")</f>
        <v/>
      </c>
    </row>
    <row r="94" customFormat="false" ht="15" hidden="false" customHeight="false" outlineLevel="0" collapsed="false">
      <c r="A94" s="15" t="n">
        <v>89</v>
      </c>
      <c r="B94" s="18" t="str">
        <f aca="false">IF('MEUS PROCESSOS'!J94="","",'MEUS PROCESSOS'!J94)</f>
        <v/>
      </c>
      <c r="C94" s="15" t="str">
        <f aca="false">IF('MEUS PROCESSOS'!K94="","",'MEUS PROCESSOS'!K94)</f>
        <v/>
      </c>
      <c r="D94" s="19" t="n">
        <f aca="false">'MEUS PROCESSOS'!Q94</f>
        <v>0</v>
      </c>
      <c r="E94" s="16"/>
      <c r="F94" s="16"/>
      <c r="G94" s="16"/>
      <c r="H94" s="16"/>
      <c r="I94" s="22"/>
      <c r="J94" s="23"/>
      <c r="K94" s="16"/>
      <c r="L94" s="24"/>
      <c r="M94" s="16"/>
      <c r="N94" s="24"/>
      <c r="O94" s="25" t="str">
        <f aca="false">IF(OR(E94="",F94=""),"",F94*IF(E94="Diária",Mult_Diaria,IF(E94="Semanal",Mult_Semanal,1)))</f>
        <v/>
      </c>
      <c r="P94" s="25" t="str">
        <f aca="false">IF(OR(O94="",G94="",H94=""),"",O94*G94/60*H94)</f>
        <v/>
      </c>
      <c r="Q94" s="26" t="str">
        <f aca="false">IF(I94&lt;&gt;"",I94,IF(Custo_Hora_Padrao&lt;&gt;"",Custo_Hora_Padrao,""))</f>
        <v/>
      </c>
      <c r="R94" s="27" t="str">
        <f aca="false">IF(OR(P94="",Q94=""),"",P94*Q94*12)</f>
        <v/>
      </c>
      <c r="S94" s="27" t="str">
        <f aca="false">IF(R94="","",R94*N(J94))</f>
        <v/>
      </c>
      <c r="T94" s="27" t="str">
        <f aca="false">IF(R94="","",N(K94)*N(L94)*12)</f>
        <v/>
      </c>
      <c r="U94" s="27" t="str">
        <f aca="false">IF(R94="","",(N(M94)*Q94*HE_Fator+N(N94))*12)</f>
        <v/>
      </c>
      <c r="V94" s="28" t="str">
        <f aca="false">IF(R94="","",R94+S94+T94+U94)</f>
        <v/>
      </c>
      <c r="W94" s="15" t="str">
        <f aca="false">IF(V94="","",IF(V94&lt;=Faixa_1,1,IF(V94&lt;=Faixa_2,2,IF(V94&lt;=Faixa_3,3,IF(V94&lt;=Faixa_4,4,5)))))</f>
        <v/>
      </c>
      <c r="X94" s="16"/>
      <c r="Y94" s="16"/>
      <c r="Z94" s="16"/>
      <c r="AA94" s="16"/>
      <c r="AB94" s="16"/>
      <c r="AC94" s="16"/>
      <c r="AD94" s="16"/>
      <c r="AE94" s="16"/>
      <c r="AF94" s="15" t="str">
        <f aca="false">IF(AB94&lt;&gt;"",AB94,IF('MEUS PROCESSOS'!N94="Alto",Sug_Alto,IF('MEUS PROCESSOS'!N94="Médio",Sug_Medio,IF('MEUS PROCESSOS'!N94="Baixo",Sug_Baixo,""))))</f>
        <v/>
      </c>
      <c r="AG94" s="15" t="str">
        <f aca="false">IF(AC94&lt;&gt;"",AC94,IF('MEUS PROCESSOS'!O94="Alto",Sug_Alto,IF('MEUS PROCESSOS'!O94="Médio",Sug_Medio,IF('MEUS PROCESSOS'!O94="Baixo",Sug_Baixo,""))))</f>
        <v/>
      </c>
      <c r="AH94" s="15" t="str">
        <f aca="false">IF(B94="","",IF(AND(AB94&lt;&gt;"",AC94&lt;&gt;""),"Avaliado pela empresa",IF(AND(AB94="",AC94="",'MEUS PROCESSOS'!N94&lt;&gt;""),"Sugestão da biblioteca",IF('MEUS PROCESSOS'!N94&lt;&gt;"","Parcialmente sugerido",IF(AND(AB94="",AC94=""),"","Avaliado pela empresa")))))</f>
        <v/>
      </c>
      <c r="AI94" s="18" t="str">
        <f aca="false">IF(B94="","",IF(AND((COUNTBLANK(X94:AA94)+COUNTBLANK(AD94:AE94)+(AF94="")*1+(AG94="")*1)=0,W94&lt;&gt;""),"Completo","Incompleto — faltam "&amp;IF((COUNTBLANK(X94:AA94)+COUNTBLANK(AD94:AE94)+(AF94="")*1+(AG94="")*1)&gt;0,(COUNTBLANK(X94:AA94)+COUNTBLANK(AD94:AE94)+(AF94="")*1+(AG94="")*1)&amp;IF((COUNTBLANK(X94:AA94)+COUNTBLANK(AD94:AE94)+(AF94="")*1+(AG94="")*1)=1," avaliação"," avaliações"),"")&amp;IF(AND((COUNTBLANK(X94:AA94)+COUNTBLANK(AD94:AE94)+(AF94="")*1+(AG94="")*1)&gt;0,W94=""), " e ","")&amp;IF(W94="","os dados de custo","")))</f>
        <v/>
      </c>
      <c r="AJ94" s="29" t="str">
        <f aca="false">IF($AI94&lt;&gt;"Completo","",W_Custo*(W94-1)/4+W_Imp*(X94-1)/4)</f>
        <v/>
      </c>
      <c r="AK94" s="29" t="str">
        <f aca="false">IF($AI94&lt;&gt;"Completo","",W_Pot*(MAX(AF94,AG94)-1)/4+W_Rep*(Y94-1)/4+W_Pad*(Z94-1)/4+W_Vol*(AA94-1)/4)</f>
        <v/>
      </c>
      <c r="AL94" s="29" t="str">
        <f aca="false">IF($AI94&lt;&gt;"Completo","",(1-F_Pen*(AE94-1)/4)*(1-F_Pen*(AD94-1)/4))</f>
        <v/>
      </c>
      <c r="AM94" s="29" t="str">
        <f aca="false">IF($AI94&lt;&gt;"Completo","",SQRT(AK94*AL94))</f>
        <v/>
      </c>
      <c r="AN94" s="30" t="str">
        <f aca="false">IF($AI94&lt;&gt;"Completo","",100*AJ94^Exp_V*AM94^Exp_Vb)</f>
        <v/>
      </c>
      <c r="AO94" s="15" t="str">
        <f aca="false">IF(AN94="","",IF(AJ94&gt;=Corte,IF(AM94&gt;=Corte,"Fazer primeiro","Projeto estratégico"),IF(AM94&gt;=Corte,"Quick win","Evitar")))</f>
        <v/>
      </c>
      <c r="AP94" s="15" t="str">
        <f aca="false">IF(AN94="","",IF(OR(AD94&gt;=Trava_Nota,AE94&gt;=Trava_Nota),"SIM","—"))</f>
        <v/>
      </c>
      <c r="AQ94" s="15" t="str">
        <f aca="false">IF(AN94="","",IF(MAX(AF94,AG94)&lt;=Rota_Nota,"SIM","—"))</f>
        <v/>
      </c>
      <c r="AR94" s="15" t="str">
        <f aca="false">IF(AN94="","",IF(Z94&lt;=Rota_Nota,"SIM","—"))</f>
        <v/>
      </c>
      <c r="AS94" s="15" t="str">
        <f aca="false">IF(AN94="","",IF(AP94="SIM",IF(AJ94&gt;=Corte,"Projeto estratégico","Evitar"),AO94))</f>
        <v/>
      </c>
      <c r="AT94" s="15" t="str">
        <f aca="false">IF(AN94="","",IF(OR(AND(AJ94&gt;=Fr_Min,AJ94&lt;=Fr_Max),AND(AM94&gt;=Fr_Min,AM94&lt;=Fr_Max)),"Revisar",""))</f>
        <v/>
      </c>
      <c r="AU94" s="15" t="str">
        <f aca="false">IF(BE94="","",COUNTIF($BE$6:$BE$105,"&gt;"&amp;BE94)+1)</f>
        <v/>
      </c>
      <c r="AV94" s="16"/>
      <c r="AW94" s="15" t="str">
        <f aca="false">IF(B94="","",IF(AV94&lt;&gt;"",AV94,'MEUS PROCESSOS'!M94))</f>
        <v/>
      </c>
      <c r="AX94" s="23"/>
      <c r="AY94" s="31" t="str">
        <f aca="false">IF(AW94="","",IF(AX94&lt;&gt;"",AX94,IF(AW94="S",Red_S,IF(AW94="P",Red_P,IF(AW94="A",Red_A,IF(AW94="IA",Red_IA,""))))))</f>
        <v/>
      </c>
      <c r="AZ94" s="27" t="str">
        <f aca="false">IF(OR(V94="",AY94=""),"",(T94+U94)*AY94)</f>
        <v/>
      </c>
      <c r="BA94" s="27" t="str">
        <f aca="false">IF(OR(V94="",AY94=""),"",(R94+S94)*AY94)</f>
        <v/>
      </c>
      <c r="BB94" s="27" t="str">
        <f aca="false">IF(AZ94="","",AZ94+BA94)</f>
        <v/>
      </c>
      <c r="BC94" s="27" t="str">
        <f aca="false">IF(OR(P94="",AY94=""),"",(P94*(1+N(J94))+N(M94))*12*AY94)</f>
        <v/>
      </c>
      <c r="BD94" s="18" t="str">
        <f aca="false">IF(B94="","",IF(AND(AW94="E",AX94=""),"Eliminar: informe quanto do esforço atual deixa de existir (0% a 100%). Não há percentual inicial sugerido.",IF(AND(AX94="",AY94&lt;&gt;""),"Redução pela faixa inicial para simulação","")))</f>
        <v/>
      </c>
      <c r="BE94" s="19" t="str">
        <f aca="false">IF(AND(AN94&lt;&gt;"",D94=1),AN94+(1000-A94)/1000000,"")</f>
        <v/>
      </c>
    </row>
    <row r="95" customFormat="false" ht="15" hidden="false" customHeight="false" outlineLevel="0" collapsed="false">
      <c r="A95" s="15" t="n">
        <v>90</v>
      </c>
      <c r="B95" s="18" t="str">
        <f aca="false">IF('MEUS PROCESSOS'!J95="","",'MEUS PROCESSOS'!J95)</f>
        <v/>
      </c>
      <c r="C95" s="15" t="str">
        <f aca="false">IF('MEUS PROCESSOS'!K95="","",'MEUS PROCESSOS'!K95)</f>
        <v/>
      </c>
      <c r="D95" s="19" t="n">
        <f aca="false">'MEUS PROCESSOS'!Q95</f>
        <v>0</v>
      </c>
      <c r="E95" s="16"/>
      <c r="F95" s="16"/>
      <c r="G95" s="16"/>
      <c r="H95" s="16"/>
      <c r="I95" s="22"/>
      <c r="J95" s="23"/>
      <c r="K95" s="16"/>
      <c r="L95" s="24"/>
      <c r="M95" s="16"/>
      <c r="N95" s="24"/>
      <c r="O95" s="25" t="str">
        <f aca="false">IF(OR(E95="",F95=""),"",F95*IF(E95="Diária",Mult_Diaria,IF(E95="Semanal",Mult_Semanal,1)))</f>
        <v/>
      </c>
      <c r="P95" s="25" t="str">
        <f aca="false">IF(OR(O95="",G95="",H95=""),"",O95*G95/60*H95)</f>
        <v/>
      </c>
      <c r="Q95" s="26" t="str">
        <f aca="false">IF(I95&lt;&gt;"",I95,IF(Custo_Hora_Padrao&lt;&gt;"",Custo_Hora_Padrao,""))</f>
        <v/>
      </c>
      <c r="R95" s="27" t="str">
        <f aca="false">IF(OR(P95="",Q95=""),"",P95*Q95*12)</f>
        <v/>
      </c>
      <c r="S95" s="27" t="str">
        <f aca="false">IF(R95="","",R95*N(J95))</f>
        <v/>
      </c>
      <c r="T95" s="27" t="str">
        <f aca="false">IF(R95="","",N(K95)*N(L95)*12)</f>
        <v/>
      </c>
      <c r="U95" s="27" t="str">
        <f aca="false">IF(R95="","",(N(M95)*Q95*HE_Fator+N(N95))*12)</f>
        <v/>
      </c>
      <c r="V95" s="28" t="str">
        <f aca="false">IF(R95="","",R95+S95+T95+U95)</f>
        <v/>
      </c>
      <c r="W95" s="15" t="str">
        <f aca="false">IF(V95="","",IF(V95&lt;=Faixa_1,1,IF(V95&lt;=Faixa_2,2,IF(V95&lt;=Faixa_3,3,IF(V95&lt;=Faixa_4,4,5)))))</f>
        <v/>
      </c>
      <c r="X95" s="16"/>
      <c r="Y95" s="16"/>
      <c r="Z95" s="16"/>
      <c r="AA95" s="16"/>
      <c r="AB95" s="16"/>
      <c r="AC95" s="16"/>
      <c r="AD95" s="16"/>
      <c r="AE95" s="16"/>
      <c r="AF95" s="15" t="str">
        <f aca="false">IF(AB95&lt;&gt;"",AB95,IF('MEUS PROCESSOS'!N95="Alto",Sug_Alto,IF('MEUS PROCESSOS'!N95="Médio",Sug_Medio,IF('MEUS PROCESSOS'!N95="Baixo",Sug_Baixo,""))))</f>
        <v/>
      </c>
      <c r="AG95" s="15" t="str">
        <f aca="false">IF(AC95&lt;&gt;"",AC95,IF('MEUS PROCESSOS'!O95="Alto",Sug_Alto,IF('MEUS PROCESSOS'!O95="Médio",Sug_Medio,IF('MEUS PROCESSOS'!O95="Baixo",Sug_Baixo,""))))</f>
        <v/>
      </c>
      <c r="AH95" s="15" t="str">
        <f aca="false">IF(B95="","",IF(AND(AB95&lt;&gt;"",AC95&lt;&gt;""),"Avaliado pela empresa",IF(AND(AB95="",AC95="",'MEUS PROCESSOS'!N95&lt;&gt;""),"Sugestão da biblioteca",IF('MEUS PROCESSOS'!N95&lt;&gt;"","Parcialmente sugerido",IF(AND(AB95="",AC95=""),"","Avaliado pela empresa")))))</f>
        <v/>
      </c>
      <c r="AI95" s="18" t="str">
        <f aca="false">IF(B95="","",IF(AND((COUNTBLANK(X95:AA95)+COUNTBLANK(AD95:AE95)+(AF95="")*1+(AG95="")*1)=0,W95&lt;&gt;""),"Completo","Incompleto — faltam "&amp;IF((COUNTBLANK(X95:AA95)+COUNTBLANK(AD95:AE95)+(AF95="")*1+(AG95="")*1)&gt;0,(COUNTBLANK(X95:AA95)+COUNTBLANK(AD95:AE95)+(AF95="")*1+(AG95="")*1)&amp;IF((COUNTBLANK(X95:AA95)+COUNTBLANK(AD95:AE95)+(AF95="")*1+(AG95="")*1)=1," avaliação"," avaliações"),"")&amp;IF(AND((COUNTBLANK(X95:AA95)+COUNTBLANK(AD95:AE95)+(AF95="")*1+(AG95="")*1)&gt;0,W95=""), " e ","")&amp;IF(W95="","os dados de custo","")))</f>
        <v/>
      </c>
      <c r="AJ95" s="29" t="str">
        <f aca="false">IF($AI95&lt;&gt;"Completo","",W_Custo*(W95-1)/4+W_Imp*(X95-1)/4)</f>
        <v/>
      </c>
      <c r="AK95" s="29" t="str">
        <f aca="false">IF($AI95&lt;&gt;"Completo","",W_Pot*(MAX(AF95,AG95)-1)/4+W_Rep*(Y95-1)/4+W_Pad*(Z95-1)/4+W_Vol*(AA95-1)/4)</f>
        <v/>
      </c>
      <c r="AL95" s="29" t="str">
        <f aca="false">IF($AI95&lt;&gt;"Completo","",(1-F_Pen*(AE95-1)/4)*(1-F_Pen*(AD95-1)/4))</f>
        <v/>
      </c>
      <c r="AM95" s="29" t="str">
        <f aca="false">IF($AI95&lt;&gt;"Completo","",SQRT(AK95*AL95))</f>
        <v/>
      </c>
      <c r="AN95" s="30" t="str">
        <f aca="false">IF($AI95&lt;&gt;"Completo","",100*AJ95^Exp_V*AM95^Exp_Vb)</f>
        <v/>
      </c>
      <c r="AO95" s="15" t="str">
        <f aca="false">IF(AN95="","",IF(AJ95&gt;=Corte,IF(AM95&gt;=Corte,"Fazer primeiro","Projeto estratégico"),IF(AM95&gt;=Corte,"Quick win","Evitar")))</f>
        <v/>
      </c>
      <c r="AP95" s="15" t="str">
        <f aca="false">IF(AN95="","",IF(OR(AD95&gt;=Trava_Nota,AE95&gt;=Trava_Nota),"SIM","—"))</f>
        <v/>
      </c>
      <c r="AQ95" s="15" t="str">
        <f aca="false">IF(AN95="","",IF(MAX(AF95,AG95)&lt;=Rota_Nota,"SIM","—"))</f>
        <v/>
      </c>
      <c r="AR95" s="15" t="str">
        <f aca="false">IF(AN95="","",IF(Z95&lt;=Rota_Nota,"SIM","—"))</f>
        <v/>
      </c>
      <c r="AS95" s="15" t="str">
        <f aca="false">IF(AN95="","",IF(AP95="SIM",IF(AJ95&gt;=Corte,"Projeto estratégico","Evitar"),AO95))</f>
        <v/>
      </c>
      <c r="AT95" s="15" t="str">
        <f aca="false">IF(AN95="","",IF(OR(AND(AJ95&gt;=Fr_Min,AJ95&lt;=Fr_Max),AND(AM95&gt;=Fr_Min,AM95&lt;=Fr_Max)),"Revisar",""))</f>
        <v/>
      </c>
      <c r="AU95" s="15" t="str">
        <f aca="false">IF(BE95="","",COUNTIF($BE$6:$BE$105,"&gt;"&amp;BE95)+1)</f>
        <v/>
      </c>
      <c r="AV95" s="16"/>
      <c r="AW95" s="15" t="str">
        <f aca="false">IF(B95="","",IF(AV95&lt;&gt;"",AV95,'MEUS PROCESSOS'!M95))</f>
        <v/>
      </c>
      <c r="AX95" s="23"/>
      <c r="AY95" s="31" t="str">
        <f aca="false">IF(AW95="","",IF(AX95&lt;&gt;"",AX95,IF(AW95="S",Red_S,IF(AW95="P",Red_P,IF(AW95="A",Red_A,IF(AW95="IA",Red_IA,""))))))</f>
        <v/>
      </c>
      <c r="AZ95" s="27" t="str">
        <f aca="false">IF(OR(V95="",AY95=""),"",(T95+U95)*AY95)</f>
        <v/>
      </c>
      <c r="BA95" s="27" t="str">
        <f aca="false">IF(OR(V95="",AY95=""),"",(R95+S95)*AY95)</f>
        <v/>
      </c>
      <c r="BB95" s="27" t="str">
        <f aca="false">IF(AZ95="","",AZ95+BA95)</f>
        <v/>
      </c>
      <c r="BC95" s="27" t="str">
        <f aca="false">IF(OR(P95="",AY95=""),"",(P95*(1+N(J95))+N(M95))*12*AY95)</f>
        <v/>
      </c>
      <c r="BD95" s="18" t="str">
        <f aca="false">IF(B95="","",IF(AND(AW95="E",AX95=""),"Eliminar: informe quanto do esforço atual deixa de existir (0% a 100%). Não há percentual inicial sugerido.",IF(AND(AX95="",AY95&lt;&gt;""),"Redução pela faixa inicial para simulação","")))</f>
        <v/>
      </c>
      <c r="BE95" s="19" t="str">
        <f aca="false">IF(AND(AN95&lt;&gt;"",D95=1),AN95+(1000-A95)/1000000,"")</f>
        <v/>
      </c>
    </row>
    <row r="96" customFormat="false" ht="15" hidden="false" customHeight="false" outlineLevel="0" collapsed="false">
      <c r="A96" s="15" t="n">
        <v>91</v>
      </c>
      <c r="B96" s="18" t="str">
        <f aca="false">IF('MEUS PROCESSOS'!J96="","",'MEUS PROCESSOS'!J96)</f>
        <v/>
      </c>
      <c r="C96" s="15" t="str">
        <f aca="false">IF('MEUS PROCESSOS'!K96="","",'MEUS PROCESSOS'!K96)</f>
        <v/>
      </c>
      <c r="D96" s="19" t="n">
        <f aca="false">'MEUS PROCESSOS'!Q96</f>
        <v>0</v>
      </c>
      <c r="E96" s="16"/>
      <c r="F96" s="16"/>
      <c r="G96" s="16"/>
      <c r="H96" s="16"/>
      <c r="I96" s="22"/>
      <c r="J96" s="23"/>
      <c r="K96" s="16"/>
      <c r="L96" s="24"/>
      <c r="M96" s="16"/>
      <c r="N96" s="24"/>
      <c r="O96" s="25" t="str">
        <f aca="false">IF(OR(E96="",F96=""),"",F96*IF(E96="Diária",Mult_Diaria,IF(E96="Semanal",Mult_Semanal,1)))</f>
        <v/>
      </c>
      <c r="P96" s="25" t="str">
        <f aca="false">IF(OR(O96="",G96="",H96=""),"",O96*G96/60*H96)</f>
        <v/>
      </c>
      <c r="Q96" s="26" t="str">
        <f aca="false">IF(I96&lt;&gt;"",I96,IF(Custo_Hora_Padrao&lt;&gt;"",Custo_Hora_Padrao,""))</f>
        <v/>
      </c>
      <c r="R96" s="27" t="str">
        <f aca="false">IF(OR(P96="",Q96=""),"",P96*Q96*12)</f>
        <v/>
      </c>
      <c r="S96" s="27" t="str">
        <f aca="false">IF(R96="","",R96*N(J96))</f>
        <v/>
      </c>
      <c r="T96" s="27" t="str">
        <f aca="false">IF(R96="","",N(K96)*N(L96)*12)</f>
        <v/>
      </c>
      <c r="U96" s="27" t="str">
        <f aca="false">IF(R96="","",(N(M96)*Q96*HE_Fator+N(N96))*12)</f>
        <v/>
      </c>
      <c r="V96" s="28" t="str">
        <f aca="false">IF(R96="","",R96+S96+T96+U96)</f>
        <v/>
      </c>
      <c r="W96" s="15" t="str">
        <f aca="false">IF(V96="","",IF(V96&lt;=Faixa_1,1,IF(V96&lt;=Faixa_2,2,IF(V96&lt;=Faixa_3,3,IF(V96&lt;=Faixa_4,4,5)))))</f>
        <v/>
      </c>
      <c r="X96" s="16"/>
      <c r="Y96" s="16"/>
      <c r="Z96" s="16"/>
      <c r="AA96" s="16"/>
      <c r="AB96" s="16"/>
      <c r="AC96" s="16"/>
      <c r="AD96" s="16"/>
      <c r="AE96" s="16"/>
      <c r="AF96" s="15" t="str">
        <f aca="false">IF(AB96&lt;&gt;"",AB96,IF('MEUS PROCESSOS'!N96="Alto",Sug_Alto,IF('MEUS PROCESSOS'!N96="Médio",Sug_Medio,IF('MEUS PROCESSOS'!N96="Baixo",Sug_Baixo,""))))</f>
        <v/>
      </c>
      <c r="AG96" s="15" t="str">
        <f aca="false">IF(AC96&lt;&gt;"",AC96,IF('MEUS PROCESSOS'!O96="Alto",Sug_Alto,IF('MEUS PROCESSOS'!O96="Médio",Sug_Medio,IF('MEUS PROCESSOS'!O96="Baixo",Sug_Baixo,""))))</f>
        <v/>
      </c>
      <c r="AH96" s="15" t="str">
        <f aca="false">IF(B96="","",IF(AND(AB96&lt;&gt;"",AC96&lt;&gt;""),"Avaliado pela empresa",IF(AND(AB96="",AC96="",'MEUS PROCESSOS'!N96&lt;&gt;""),"Sugestão da biblioteca",IF('MEUS PROCESSOS'!N96&lt;&gt;"","Parcialmente sugerido",IF(AND(AB96="",AC96=""),"","Avaliado pela empresa")))))</f>
        <v/>
      </c>
      <c r="AI96" s="18" t="str">
        <f aca="false">IF(B96="","",IF(AND((COUNTBLANK(X96:AA96)+COUNTBLANK(AD96:AE96)+(AF96="")*1+(AG96="")*1)=0,W96&lt;&gt;""),"Completo","Incompleto — faltam "&amp;IF((COUNTBLANK(X96:AA96)+COUNTBLANK(AD96:AE96)+(AF96="")*1+(AG96="")*1)&gt;0,(COUNTBLANK(X96:AA96)+COUNTBLANK(AD96:AE96)+(AF96="")*1+(AG96="")*1)&amp;IF((COUNTBLANK(X96:AA96)+COUNTBLANK(AD96:AE96)+(AF96="")*1+(AG96="")*1)=1," avaliação"," avaliações"),"")&amp;IF(AND((COUNTBLANK(X96:AA96)+COUNTBLANK(AD96:AE96)+(AF96="")*1+(AG96="")*1)&gt;0,W96=""), " e ","")&amp;IF(W96="","os dados de custo","")))</f>
        <v/>
      </c>
      <c r="AJ96" s="29" t="str">
        <f aca="false">IF($AI96&lt;&gt;"Completo","",W_Custo*(W96-1)/4+W_Imp*(X96-1)/4)</f>
        <v/>
      </c>
      <c r="AK96" s="29" t="str">
        <f aca="false">IF($AI96&lt;&gt;"Completo","",W_Pot*(MAX(AF96,AG96)-1)/4+W_Rep*(Y96-1)/4+W_Pad*(Z96-1)/4+W_Vol*(AA96-1)/4)</f>
        <v/>
      </c>
      <c r="AL96" s="29" t="str">
        <f aca="false">IF($AI96&lt;&gt;"Completo","",(1-F_Pen*(AE96-1)/4)*(1-F_Pen*(AD96-1)/4))</f>
        <v/>
      </c>
      <c r="AM96" s="29" t="str">
        <f aca="false">IF($AI96&lt;&gt;"Completo","",SQRT(AK96*AL96))</f>
        <v/>
      </c>
      <c r="AN96" s="30" t="str">
        <f aca="false">IF($AI96&lt;&gt;"Completo","",100*AJ96^Exp_V*AM96^Exp_Vb)</f>
        <v/>
      </c>
      <c r="AO96" s="15" t="str">
        <f aca="false">IF(AN96="","",IF(AJ96&gt;=Corte,IF(AM96&gt;=Corte,"Fazer primeiro","Projeto estratégico"),IF(AM96&gt;=Corte,"Quick win","Evitar")))</f>
        <v/>
      </c>
      <c r="AP96" s="15" t="str">
        <f aca="false">IF(AN96="","",IF(OR(AD96&gt;=Trava_Nota,AE96&gt;=Trava_Nota),"SIM","—"))</f>
        <v/>
      </c>
      <c r="AQ96" s="15" t="str">
        <f aca="false">IF(AN96="","",IF(MAX(AF96,AG96)&lt;=Rota_Nota,"SIM","—"))</f>
        <v/>
      </c>
      <c r="AR96" s="15" t="str">
        <f aca="false">IF(AN96="","",IF(Z96&lt;=Rota_Nota,"SIM","—"))</f>
        <v/>
      </c>
      <c r="AS96" s="15" t="str">
        <f aca="false">IF(AN96="","",IF(AP96="SIM",IF(AJ96&gt;=Corte,"Projeto estratégico","Evitar"),AO96))</f>
        <v/>
      </c>
      <c r="AT96" s="15" t="str">
        <f aca="false">IF(AN96="","",IF(OR(AND(AJ96&gt;=Fr_Min,AJ96&lt;=Fr_Max),AND(AM96&gt;=Fr_Min,AM96&lt;=Fr_Max)),"Revisar",""))</f>
        <v/>
      </c>
      <c r="AU96" s="15" t="str">
        <f aca="false">IF(BE96="","",COUNTIF($BE$6:$BE$105,"&gt;"&amp;BE96)+1)</f>
        <v/>
      </c>
      <c r="AV96" s="16"/>
      <c r="AW96" s="15" t="str">
        <f aca="false">IF(B96="","",IF(AV96&lt;&gt;"",AV96,'MEUS PROCESSOS'!M96))</f>
        <v/>
      </c>
      <c r="AX96" s="23"/>
      <c r="AY96" s="31" t="str">
        <f aca="false">IF(AW96="","",IF(AX96&lt;&gt;"",AX96,IF(AW96="S",Red_S,IF(AW96="P",Red_P,IF(AW96="A",Red_A,IF(AW96="IA",Red_IA,""))))))</f>
        <v/>
      </c>
      <c r="AZ96" s="27" t="str">
        <f aca="false">IF(OR(V96="",AY96=""),"",(T96+U96)*AY96)</f>
        <v/>
      </c>
      <c r="BA96" s="27" t="str">
        <f aca="false">IF(OR(V96="",AY96=""),"",(R96+S96)*AY96)</f>
        <v/>
      </c>
      <c r="BB96" s="27" t="str">
        <f aca="false">IF(AZ96="","",AZ96+BA96)</f>
        <v/>
      </c>
      <c r="BC96" s="27" t="str">
        <f aca="false">IF(OR(P96="",AY96=""),"",(P96*(1+N(J96))+N(M96))*12*AY96)</f>
        <v/>
      </c>
      <c r="BD96" s="18" t="str">
        <f aca="false">IF(B96="","",IF(AND(AW96="E",AX96=""),"Eliminar: informe quanto do esforço atual deixa de existir (0% a 100%). Não há percentual inicial sugerido.",IF(AND(AX96="",AY96&lt;&gt;""),"Redução pela faixa inicial para simulação","")))</f>
        <v/>
      </c>
      <c r="BE96" s="19" t="str">
        <f aca="false">IF(AND(AN96&lt;&gt;"",D96=1),AN96+(1000-A96)/1000000,"")</f>
        <v/>
      </c>
    </row>
    <row r="97" customFormat="false" ht="15" hidden="false" customHeight="false" outlineLevel="0" collapsed="false">
      <c r="A97" s="15" t="n">
        <v>92</v>
      </c>
      <c r="B97" s="18" t="str">
        <f aca="false">IF('MEUS PROCESSOS'!J97="","",'MEUS PROCESSOS'!J97)</f>
        <v/>
      </c>
      <c r="C97" s="15" t="str">
        <f aca="false">IF('MEUS PROCESSOS'!K97="","",'MEUS PROCESSOS'!K97)</f>
        <v/>
      </c>
      <c r="D97" s="19" t="n">
        <f aca="false">'MEUS PROCESSOS'!Q97</f>
        <v>0</v>
      </c>
      <c r="E97" s="16"/>
      <c r="F97" s="16"/>
      <c r="G97" s="16"/>
      <c r="H97" s="16"/>
      <c r="I97" s="22"/>
      <c r="J97" s="23"/>
      <c r="K97" s="16"/>
      <c r="L97" s="24"/>
      <c r="M97" s="16"/>
      <c r="N97" s="24"/>
      <c r="O97" s="25" t="str">
        <f aca="false">IF(OR(E97="",F97=""),"",F97*IF(E97="Diária",Mult_Diaria,IF(E97="Semanal",Mult_Semanal,1)))</f>
        <v/>
      </c>
      <c r="P97" s="25" t="str">
        <f aca="false">IF(OR(O97="",G97="",H97=""),"",O97*G97/60*H97)</f>
        <v/>
      </c>
      <c r="Q97" s="26" t="str">
        <f aca="false">IF(I97&lt;&gt;"",I97,IF(Custo_Hora_Padrao&lt;&gt;"",Custo_Hora_Padrao,""))</f>
        <v/>
      </c>
      <c r="R97" s="27" t="str">
        <f aca="false">IF(OR(P97="",Q97=""),"",P97*Q97*12)</f>
        <v/>
      </c>
      <c r="S97" s="27" t="str">
        <f aca="false">IF(R97="","",R97*N(J97))</f>
        <v/>
      </c>
      <c r="T97" s="27" t="str">
        <f aca="false">IF(R97="","",N(K97)*N(L97)*12)</f>
        <v/>
      </c>
      <c r="U97" s="27" t="str">
        <f aca="false">IF(R97="","",(N(M97)*Q97*HE_Fator+N(N97))*12)</f>
        <v/>
      </c>
      <c r="V97" s="28" t="str">
        <f aca="false">IF(R97="","",R97+S97+T97+U97)</f>
        <v/>
      </c>
      <c r="W97" s="15" t="str">
        <f aca="false">IF(V97="","",IF(V97&lt;=Faixa_1,1,IF(V97&lt;=Faixa_2,2,IF(V97&lt;=Faixa_3,3,IF(V97&lt;=Faixa_4,4,5)))))</f>
        <v/>
      </c>
      <c r="X97" s="16"/>
      <c r="Y97" s="16"/>
      <c r="Z97" s="16"/>
      <c r="AA97" s="16"/>
      <c r="AB97" s="16"/>
      <c r="AC97" s="16"/>
      <c r="AD97" s="16"/>
      <c r="AE97" s="16"/>
      <c r="AF97" s="15" t="str">
        <f aca="false">IF(AB97&lt;&gt;"",AB97,IF('MEUS PROCESSOS'!N97="Alto",Sug_Alto,IF('MEUS PROCESSOS'!N97="Médio",Sug_Medio,IF('MEUS PROCESSOS'!N97="Baixo",Sug_Baixo,""))))</f>
        <v/>
      </c>
      <c r="AG97" s="15" t="str">
        <f aca="false">IF(AC97&lt;&gt;"",AC97,IF('MEUS PROCESSOS'!O97="Alto",Sug_Alto,IF('MEUS PROCESSOS'!O97="Médio",Sug_Medio,IF('MEUS PROCESSOS'!O97="Baixo",Sug_Baixo,""))))</f>
        <v/>
      </c>
      <c r="AH97" s="15" t="str">
        <f aca="false">IF(B97="","",IF(AND(AB97&lt;&gt;"",AC97&lt;&gt;""),"Avaliado pela empresa",IF(AND(AB97="",AC97="",'MEUS PROCESSOS'!N97&lt;&gt;""),"Sugestão da biblioteca",IF('MEUS PROCESSOS'!N97&lt;&gt;"","Parcialmente sugerido",IF(AND(AB97="",AC97=""),"","Avaliado pela empresa")))))</f>
        <v/>
      </c>
      <c r="AI97" s="18" t="str">
        <f aca="false">IF(B97="","",IF(AND((COUNTBLANK(X97:AA97)+COUNTBLANK(AD97:AE97)+(AF97="")*1+(AG97="")*1)=0,W97&lt;&gt;""),"Completo","Incompleto — faltam "&amp;IF((COUNTBLANK(X97:AA97)+COUNTBLANK(AD97:AE97)+(AF97="")*1+(AG97="")*1)&gt;0,(COUNTBLANK(X97:AA97)+COUNTBLANK(AD97:AE97)+(AF97="")*1+(AG97="")*1)&amp;IF((COUNTBLANK(X97:AA97)+COUNTBLANK(AD97:AE97)+(AF97="")*1+(AG97="")*1)=1," avaliação"," avaliações"),"")&amp;IF(AND((COUNTBLANK(X97:AA97)+COUNTBLANK(AD97:AE97)+(AF97="")*1+(AG97="")*1)&gt;0,W97=""), " e ","")&amp;IF(W97="","os dados de custo","")))</f>
        <v/>
      </c>
      <c r="AJ97" s="29" t="str">
        <f aca="false">IF($AI97&lt;&gt;"Completo","",W_Custo*(W97-1)/4+W_Imp*(X97-1)/4)</f>
        <v/>
      </c>
      <c r="AK97" s="29" t="str">
        <f aca="false">IF($AI97&lt;&gt;"Completo","",W_Pot*(MAX(AF97,AG97)-1)/4+W_Rep*(Y97-1)/4+W_Pad*(Z97-1)/4+W_Vol*(AA97-1)/4)</f>
        <v/>
      </c>
      <c r="AL97" s="29" t="str">
        <f aca="false">IF($AI97&lt;&gt;"Completo","",(1-F_Pen*(AE97-1)/4)*(1-F_Pen*(AD97-1)/4))</f>
        <v/>
      </c>
      <c r="AM97" s="29" t="str">
        <f aca="false">IF($AI97&lt;&gt;"Completo","",SQRT(AK97*AL97))</f>
        <v/>
      </c>
      <c r="AN97" s="30" t="str">
        <f aca="false">IF($AI97&lt;&gt;"Completo","",100*AJ97^Exp_V*AM97^Exp_Vb)</f>
        <v/>
      </c>
      <c r="AO97" s="15" t="str">
        <f aca="false">IF(AN97="","",IF(AJ97&gt;=Corte,IF(AM97&gt;=Corte,"Fazer primeiro","Projeto estratégico"),IF(AM97&gt;=Corte,"Quick win","Evitar")))</f>
        <v/>
      </c>
      <c r="AP97" s="15" t="str">
        <f aca="false">IF(AN97="","",IF(OR(AD97&gt;=Trava_Nota,AE97&gt;=Trava_Nota),"SIM","—"))</f>
        <v/>
      </c>
      <c r="AQ97" s="15" t="str">
        <f aca="false">IF(AN97="","",IF(MAX(AF97,AG97)&lt;=Rota_Nota,"SIM","—"))</f>
        <v/>
      </c>
      <c r="AR97" s="15" t="str">
        <f aca="false">IF(AN97="","",IF(Z97&lt;=Rota_Nota,"SIM","—"))</f>
        <v/>
      </c>
      <c r="AS97" s="15" t="str">
        <f aca="false">IF(AN97="","",IF(AP97="SIM",IF(AJ97&gt;=Corte,"Projeto estratégico","Evitar"),AO97))</f>
        <v/>
      </c>
      <c r="AT97" s="15" t="str">
        <f aca="false">IF(AN97="","",IF(OR(AND(AJ97&gt;=Fr_Min,AJ97&lt;=Fr_Max),AND(AM97&gt;=Fr_Min,AM97&lt;=Fr_Max)),"Revisar",""))</f>
        <v/>
      </c>
      <c r="AU97" s="15" t="str">
        <f aca="false">IF(BE97="","",COUNTIF($BE$6:$BE$105,"&gt;"&amp;BE97)+1)</f>
        <v/>
      </c>
      <c r="AV97" s="16"/>
      <c r="AW97" s="15" t="str">
        <f aca="false">IF(B97="","",IF(AV97&lt;&gt;"",AV97,'MEUS PROCESSOS'!M97))</f>
        <v/>
      </c>
      <c r="AX97" s="23"/>
      <c r="AY97" s="31" t="str">
        <f aca="false">IF(AW97="","",IF(AX97&lt;&gt;"",AX97,IF(AW97="S",Red_S,IF(AW97="P",Red_P,IF(AW97="A",Red_A,IF(AW97="IA",Red_IA,""))))))</f>
        <v/>
      </c>
      <c r="AZ97" s="27" t="str">
        <f aca="false">IF(OR(V97="",AY97=""),"",(T97+U97)*AY97)</f>
        <v/>
      </c>
      <c r="BA97" s="27" t="str">
        <f aca="false">IF(OR(V97="",AY97=""),"",(R97+S97)*AY97)</f>
        <v/>
      </c>
      <c r="BB97" s="27" t="str">
        <f aca="false">IF(AZ97="","",AZ97+BA97)</f>
        <v/>
      </c>
      <c r="BC97" s="27" t="str">
        <f aca="false">IF(OR(P97="",AY97=""),"",(P97*(1+N(J97))+N(M97))*12*AY97)</f>
        <v/>
      </c>
      <c r="BD97" s="18" t="str">
        <f aca="false">IF(B97="","",IF(AND(AW97="E",AX97=""),"Eliminar: informe quanto do esforço atual deixa de existir (0% a 100%). Não há percentual inicial sugerido.",IF(AND(AX97="",AY97&lt;&gt;""),"Redução pela faixa inicial para simulação","")))</f>
        <v/>
      </c>
      <c r="BE97" s="19" t="str">
        <f aca="false">IF(AND(AN97&lt;&gt;"",D97=1),AN97+(1000-A97)/1000000,"")</f>
        <v/>
      </c>
    </row>
    <row r="98" customFormat="false" ht="15" hidden="false" customHeight="false" outlineLevel="0" collapsed="false">
      <c r="A98" s="15" t="n">
        <v>93</v>
      </c>
      <c r="B98" s="18" t="str">
        <f aca="false">IF('MEUS PROCESSOS'!J98="","",'MEUS PROCESSOS'!J98)</f>
        <v/>
      </c>
      <c r="C98" s="15" t="str">
        <f aca="false">IF('MEUS PROCESSOS'!K98="","",'MEUS PROCESSOS'!K98)</f>
        <v/>
      </c>
      <c r="D98" s="19" t="n">
        <f aca="false">'MEUS PROCESSOS'!Q98</f>
        <v>0</v>
      </c>
      <c r="E98" s="16"/>
      <c r="F98" s="16"/>
      <c r="G98" s="16"/>
      <c r="H98" s="16"/>
      <c r="I98" s="22"/>
      <c r="J98" s="23"/>
      <c r="K98" s="16"/>
      <c r="L98" s="24"/>
      <c r="M98" s="16"/>
      <c r="N98" s="24"/>
      <c r="O98" s="25" t="str">
        <f aca="false">IF(OR(E98="",F98=""),"",F98*IF(E98="Diária",Mult_Diaria,IF(E98="Semanal",Mult_Semanal,1)))</f>
        <v/>
      </c>
      <c r="P98" s="25" t="str">
        <f aca="false">IF(OR(O98="",G98="",H98=""),"",O98*G98/60*H98)</f>
        <v/>
      </c>
      <c r="Q98" s="26" t="str">
        <f aca="false">IF(I98&lt;&gt;"",I98,IF(Custo_Hora_Padrao&lt;&gt;"",Custo_Hora_Padrao,""))</f>
        <v/>
      </c>
      <c r="R98" s="27" t="str">
        <f aca="false">IF(OR(P98="",Q98=""),"",P98*Q98*12)</f>
        <v/>
      </c>
      <c r="S98" s="27" t="str">
        <f aca="false">IF(R98="","",R98*N(J98))</f>
        <v/>
      </c>
      <c r="T98" s="27" t="str">
        <f aca="false">IF(R98="","",N(K98)*N(L98)*12)</f>
        <v/>
      </c>
      <c r="U98" s="27" t="str">
        <f aca="false">IF(R98="","",(N(M98)*Q98*HE_Fator+N(N98))*12)</f>
        <v/>
      </c>
      <c r="V98" s="28" t="str">
        <f aca="false">IF(R98="","",R98+S98+T98+U98)</f>
        <v/>
      </c>
      <c r="W98" s="15" t="str">
        <f aca="false">IF(V98="","",IF(V98&lt;=Faixa_1,1,IF(V98&lt;=Faixa_2,2,IF(V98&lt;=Faixa_3,3,IF(V98&lt;=Faixa_4,4,5)))))</f>
        <v/>
      </c>
      <c r="X98" s="16"/>
      <c r="Y98" s="16"/>
      <c r="Z98" s="16"/>
      <c r="AA98" s="16"/>
      <c r="AB98" s="16"/>
      <c r="AC98" s="16"/>
      <c r="AD98" s="16"/>
      <c r="AE98" s="16"/>
      <c r="AF98" s="15" t="str">
        <f aca="false">IF(AB98&lt;&gt;"",AB98,IF('MEUS PROCESSOS'!N98="Alto",Sug_Alto,IF('MEUS PROCESSOS'!N98="Médio",Sug_Medio,IF('MEUS PROCESSOS'!N98="Baixo",Sug_Baixo,""))))</f>
        <v/>
      </c>
      <c r="AG98" s="15" t="str">
        <f aca="false">IF(AC98&lt;&gt;"",AC98,IF('MEUS PROCESSOS'!O98="Alto",Sug_Alto,IF('MEUS PROCESSOS'!O98="Médio",Sug_Medio,IF('MEUS PROCESSOS'!O98="Baixo",Sug_Baixo,""))))</f>
        <v/>
      </c>
      <c r="AH98" s="15" t="str">
        <f aca="false">IF(B98="","",IF(AND(AB98&lt;&gt;"",AC98&lt;&gt;""),"Avaliado pela empresa",IF(AND(AB98="",AC98="",'MEUS PROCESSOS'!N98&lt;&gt;""),"Sugestão da biblioteca",IF('MEUS PROCESSOS'!N98&lt;&gt;"","Parcialmente sugerido",IF(AND(AB98="",AC98=""),"","Avaliado pela empresa")))))</f>
        <v/>
      </c>
      <c r="AI98" s="18" t="str">
        <f aca="false">IF(B98="","",IF(AND((COUNTBLANK(X98:AA98)+COUNTBLANK(AD98:AE98)+(AF98="")*1+(AG98="")*1)=0,W98&lt;&gt;""),"Completo","Incompleto — faltam "&amp;IF((COUNTBLANK(X98:AA98)+COUNTBLANK(AD98:AE98)+(AF98="")*1+(AG98="")*1)&gt;0,(COUNTBLANK(X98:AA98)+COUNTBLANK(AD98:AE98)+(AF98="")*1+(AG98="")*1)&amp;IF((COUNTBLANK(X98:AA98)+COUNTBLANK(AD98:AE98)+(AF98="")*1+(AG98="")*1)=1," avaliação"," avaliações"),"")&amp;IF(AND((COUNTBLANK(X98:AA98)+COUNTBLANK(AD98:AE98)+(AF98="")*1+(AG98="")*1)&gt;0,W98=""), " e ","")&amp;IF(W98="","os dados de custo","")))</f>
        <v/>
      </c>
      <c r="AJ98" s="29" t="str">
        <f aca="false">IF($AI98&lt;&gt;"Completo","",W_Custo*(W98-1)/4+W_Imp*(X98-1)/4)</f>
        <v/>
      </c>
      <c r="AK98" s="29" t="str">
        <f aca="false">IF($AI98&lt;&gt;"Completo","",W_Pot*(MAX(AF98,AG98)-1)/4+W_Rep*(Y98-1)/4+W_Pad*(Z98-1)/4+W_Vol*(AA98-1)/4)</f>
        <v/>
      </c>
      <c r="AL98" s="29" t="str">
        <f aca="false">IF($AI98&lt;&gt;"Completo","",(1-F_Pen*(AE98-1)/4)*(1-F_Pen*(AD98-1)/4))</f>
        <v/>
      </c>
      <c r="AM98" s="29" t="str">
        <f aca="false">IF($AI98&lt;&gt;"Completo","",SQRT(AK98*AL98))</f>
        <v/>
      </c>
      <c r="AN98" s="30" t="str">
        <f aca="false">IF($AI98&lt;&gt;"Completo","",100*AJ98^Exp_V*AM98^Exp_Vb)</f>
        <v/>
      </c>
      <c r="AO98" s="15" t="str">
        <f aca="false">IF(AN98="","",IF(AJ98&gt;=Corte,IF(AM98&gt;=Corte,"Fazer primeiro","Projeto estratégico"),IF(AM98&gt;=Corte,"Quick win","Evitar")))</f>
        <v/>
      </c>
      <c r="AP98" s="15" t="str">
        <f aca="false">IF(AN98="","",IF(OR(AD98&gt;=Trava_Nota,AE98&gt;=Trava_Nota),"SIM","—"))</f>
        <v/>
      </c>
      <c r="AQ98" s="15" t="str">
        <f aca="false">IF(AN98="","",IF(MAX(AF98,AG98)&lt;=Rota_Nota,"SIM","—"))</f>
        <v/>
      </c>
      <c r="AR98" s="15" t="str">
        <f aca="false">IF(AN98="","",IF(Z98&lt;=Rota_Nota,"SIM","—"))</f>
        <v/>
      </c>
      <c r="AS98" s="15" t="str">
        <f aca="false">IF(AN98="","",IF(AP98="SIM",IF(AJ98&gt;=Corte,"Projeto estratégico","Evitar"),AO98))</f>
        <v/>
      </c>
      <c r="AT98" s="15" t="str">
        <f aca="false">IF(AN98="","",IF(OR(AND(AJ98&gt;=Fr_Min,AJ98&lt;=Fr_Max),AND(AM98&gt;=Fr_Min,AM98&lt;=Fr_Max)),"Revisar",""))</f>
        <v/>
      </c>
      <c r="AU98" s="15" t="str">
        <f aca="false">IF(BE98="","",COUNTIF($BE$6:$BE$105,"&gt;"&amp;BE98)+1)</f>
        <v/>
      </c>
      <c r="AV98" s="16"/>
      <c r="AW98" s="15" t="str">
        <f aca="false">IF(B98="","",IF(AV98&lt;&gt;"",AV98,'MEUS PROCESSOS'!M98))</f>
        <v/>
      </c>
      <c r="AX98" s="23"/>
      <c r="AY98" s="31" t="str">
        <f aca="false">IF(AW98="","",IF(AX98&lt;&gt;"",AX98,IF(AW98="S",Red_S,IF(AW98="P",Red_P,IF(AW98="A",Red_A,IF(AW98="IA",Red_IA,""))))))</f>
        <v/>
      </c>
      <c r="AZ98" s="27" t="str">
        <f aca="false">IF(OR(V98="",AY98=""),"",(T98+U98)*AY98)</f>
        <v/>
      </c>
      <c r="BA98" s="27" t="str">
        <f aca="false">IF(OR(V98="",AY98=""),"",(R98+S98)*AY98)</f>
        <v/>
      </c>
      <c r="BB98" s="27" t="str">
        <f aca="false">IF(AZ98="","",AZ98+BA98)</f>
        <v/>
      </c>
      <c r="BC98" s="27" t="str">
        <f aca="false">IF(OR(P98="",AY98=""),"",(P98*(1+N(J98))+N(M98))*12*AY98)</f>
        <v/>
      </c>
      <c r="BD98" s="18" t="str">
        <f aca="false">IF(B98="","",IF(AND(AW98="E",AX98=""),"Eliminar: informe quanto do esforço atual deixa de existir (0% a 100%). Não há percentual inicial sugerido.",IF(AND(AX98="",AY98&lt;&gt;""),"Redução pela faixa inicial para simulação","")))</f>
        <v/>
      </c>
      <c r="BE98" s="19" t="str">
        <f aca="false">IF(AND(AN98&lt;&gt;"",D98=1),AN98+(1000-A98)/1000000,"")</f>
        <v/>
      </c>
    </row>
    <row r="99" customFormat="false" ht="15" hidden="false" customHeight="false" outlineLevel="0" collapsed="false">
      <c r="A99" s="15" t="n">
        <v>94</v>
      </c>
      <c r="B99" s="18" t="str">
        <f aca="false">IF('MEUS PROCESSOS'!J99="","",'MEUS PROCESSOS'!J99)</f>
        <v/>
      </c>
      <c r="C99" s="15" t="str">
        <f aca="false">IF('MEUS PROCESSOS'!K99="","",'MEUS PROCESSOS'!K99)</f>
        <v/>
      </c>
      <c r="D99" s="19" t="n">
        <f aca="false">'MEUS PROCESSOS'!Q99</f>
        <v>0</v>
      </c>
      <c r="E99" s="16"/>
      <c r="F99" s="16"/>
      <c r="G99" s="16"/>
      <c r="H99" s="16"/>
      <c r="I99" s="22"/>
      <c r="J99" s="23"/>
      <c r="K99" s="16"/>
      <c r="L99" s="24"/>
      <c r="M99" s="16"/>
      <c r="N99" s="24"/>
      <c r="O99" s="25" t="str">
        <f aca="false">IF(OR(E99="",F99=""),"",F99*IF(E99="Diária",Mult_Diaria,IF(E99="Semanal",Mult_Semanal,1)))</f>
        <v/>
      </c>
      <c r="P99" s="25" t="str">
        <f aca="false">IF(OR(O99="",G99="",H99=""),"",O99*G99/60*H99)</f>
        <v/>
      </c>
      <c r="Q99" s="26" t="str">
        <f aca="false">IF(I99&lt;&gt;"",I99,IF(Custo_Hora_Padrao&lt;&gt;"",Custo_Hora_Padrao,""))</f>
        <v/>
      </c>
      <c r="R99" s="27" t="str">
        <f aca="false">IF(OR(P99="",Q99=""),"",P99*Q99*12)</f>
        <v/>
      </c>
      <c r="S99" s="27" t="str">
        <f aca="false">IF(R99="","",R99*N(J99))</f>
        <v/>
      </c>
      <c r="T99" s="27" t="str">
        <f aca="false">IF(R99="","",N(K99)*N(L99)*12)</f>
        <v/>
      </c>
      <c r="U99" s="27" t="str">
        <f aca="false">IF(R99="","",(N(M99)*Q99*HE_Fator+N(N99))*12)</f>
        <v/>
      </c>
      <c r="V99" s="28" t="str">
        <f aca="false">IF(R99="","",R99+S99+T99+U99)</f>
        <v/>
      </c>
      <c r="W99" s="15" t="str">
        <f aca="false">IF(V99="","",IF(V99&lt;=Faixa_1,1,IF(V99&lt;=Faixa_2,2,IF(V99&lt;=Faixa_3,3,IF(V99&lt;=Faixa_4,4,5)))))</f>
        <v/>
      </c>
      <c r="X99" s="16"/>
      <c r="Y99" s="16"/>
      <c r="Z99" s="16"/>
      <c r="AA99" s="16"/>
      <c r="AB99" s="16"/>
      <c r="AC99" s="16"/>
      <c r="AD99" s="16"/>
      <c r="AE99" s="16"/>
      <c r="AF99" s="15" t="str">
        <f aca="false">IF(AB99&lt;&gt;"",AB99,IF('MEUS PROCESSOS'!N99="Alto",Sug_Alto,IF('MEUS PROCESSOS'!N99="Médio",Sug_Medio,IF('MEUS PROCESSOS'!N99="Baixo",Sug_Baixo,""))))</f>
        <v/>
      </c>
      <c r="AG99" s="15" t="str">
        <f aca="false">IF(AC99&lt;&gt;"",AC99,IF('MEUS PROCESSOS'!O99="Alto",Sug_Alto,IF('MEUS PROCESSOS'!O99="Médio",Sug_Medio,IF('MEUS PROCESSOS'!O99="Baixo",Sug_Baixo,""))))</f>
        <v/>
      </c>
      <c r="AH99" s="15" t="str">
        <f aca="false">IF(B99="","",IF(AND(AB99&lt;&gt;"",AC99&lt;&gt;""),"Avaliado pela empresa",IF(AND(AB99="",AC99="",'MEUS PROCESSOS'!N99&lt;&gt;""),"Sugestão da biblioteca",IF('MEUS PROCESSOS'!N99&lt;&gt;"","Parcialmente sugerido",IF(AND(AB99="",AC99=""),"","Avaliado pela empresa")))))</f>
        <v/>
      </c>
      <c r="AI99" s="18" t="str">
        <f aca="false">IF(B99="","",IF(AND((COUNTBLANK(X99:AA99)+COUNTBLANK(AD99:AE99)+(AF99="")*1+(AG99="")*1)=0,W99&lt;&gt;""),"Completo","Incompleto — faltam "&amp;IF((COUNTBLANK(X99:AA99)+COUNTBLANK(AD99:AE99)+(AF99="")*1+(AG99="")*1)&gt;0,(COUNTBLANK(X99:AA99)+COUNTBLANK(AD99:AE99)+(AF99="")*1+(AG99="")*1)&amp;IF((COUNTBLANK(X99:AA99)+COUNTBLANK(AD99:AE99)+(AF99="")*1+(AG99="")*1)=1," avaliação"," avaliações"),"")&amp;IF(AND((COUNTBLANK(X99:AA99)+COUNTBLANK(AD99:AE99)+(AF99="")*1+(AG99="")*1)&gt;0,W99=""), " e ","")&amp;IF(W99="","os dados de custo","")))</f>
        <v/>
      </c>
      <c r="AJ99" s="29" t="str">
        <f aca="false">IF($AI99&lt;&gt;"Completo","",W_Custo*(W99-1)/4+W_Imp*(X99-1)/4)</f>
        <v/>
      </c>
      <c r="AK99" s="29" t="str">
        <f aca="false">IF($AI99&lt;&gt;"Completo","",W_Pot*(MAX(AF99,AG99)-1)/4+W_Rep*(Y99-1)/4+W_Pad*(Z99-1)/4+W_Vol*(AA99-1)/4)</f>
        <v/>
      </c>
      <c r="AL99" s="29" t="str">
        <f aca="false">IF($AI99&lt;&gt;"Completo","",(1-F_Pen*(AE99-1)/4)*(1-F_Pen*(AD99-1)/4))</f>
        <v/>
      </c>
      <c r="AM99" s="29" t="str">
        <f aca="false">IF($AI99&lt;&gt;"Completo","",SQRT(AK99*AL99))</f>
        <v/>
      </c>
      <c r="AN99" s="30" t="str">
        <f aca="false">IF($AI99&lt;&gt;"Completo","",100*AJ99^Exp_V*AM99^Exp_Vb)</f>
        <v/>
      </c>
      <c r="AO99" s="15" t="str">
        <f aca="false">IF(AN99="","",IF(AJ99&gt;=Corte,IF(AM99&gt;=Corte,"Fazer primeiro","Projeto estratégico"),IF(AM99&gt;=Corte,"Quick win","Evitar")))</f>
        <v/>
      </c>
      <c r="AP99" s="15" t="str">
        <f aca="false">IF(AN99="","",IF(OR(AD99&gt;=Trava_Nota,AE99&gt;=Trava_Nota),"SIM","—"))</f>
        <v/>
      </c>
      <c r="AQ99" s="15" t="str">
        <f aca="false">IF(AN99="","",IF(MAX(AF99,AG99)&lt;=Rota_Nota,"SIM","—"))</f>
        <v/>
      </c>
      <c r="AR99" s="15" t="str">
        <f aca="false">IF(AN99="","",IF(Z99&lt;=Rota_Nota,"SIM","—"))</f>
        <v/>
      </c>
      <c r="AS99" s="15" t="str">
        <f aca="false">IF(AN99="","",IF(AP99="SIM",IF(AJ99&gt;=Corte,"Projeto estratégico","Evitar"),AO99))</f>
        <v/>
      </c>
      <c r="AT99" s="15" t="str">
        <f aca="false">IF(AN99="","",IF(OR(AND(AJ99&gt;=Fr_Min,AJ99&lt;=Fr_Max),AND(AM99&gt;=Fr_Min,AM99&lt;=Fr_Max)),"Revisar",""))</f>
        <v/>
      </c>
      <c r="AU99" s="15" t="str">
        <f aca="false">IF(BE99="","",COUNTIF($BE$6:$BE$105,"&gt;"&amp;BE99)+1)</f>
        <v/>
      </c>
      <c r="AV99" s="16"/>
      <c r="AW99" s="15" t="str">
        <f aca="false">IF(B99="","",IF(AV99&lt;&gt;"",AV99,'MEUS PROCESSOS'!M99))</f>
        <v/>
      </c>
      <c r="AX99" s="23"/>
      <c r="AY99" s="31" t="str">
        <f aca="false">IF(AW99="","",IF(AX99&lt;&gt;"",AX99,IF(AW99="S",Red_S,IF(AW99="P",Red_P,IF(AW99="A",Red_A,IF(AW99="IA",Red_IA,""))))))</f>
        <v/>
      </c>
      <c r="AZ99" s="27" t="str">
        <f aca="false">IF(OR(V99="",AY99=""),"",(T99+U99)*AY99)</f>
        <v/>
      </c>
      <c r="BA99" s="27" t="str">
        <f aca="false">IF(OR(V99="",AY99=""),"",(R99+S99)*AY99)</f>
        <v/>
      </c>
      <c r="BB99" s="27" t="str">
        <f aca="false">IF(AZ99="","",AZ99+BA99)</f>
        <v/>
      </c>
      <c r="BC99" s="27" t="str">
        <f aca="false">IF(OR(P99="",AY99=""),"",(P99*(1+N(J99))+N(M99))*12*AY99)</f>
        <v/>
      </c>
      <c r="BD99" s="18" t="str">
        <f aca="false">IF(B99="","",IF(AND(AW99="E",AX99=""),"Eliminar: informe quanto do esforço atual deixa de existir (0% a 100%). Não há percentual inicial sugerido.",IF(AND(AX99="",AY99&lt;&gt;""),"Redução pela faixa inicial para simulação","")))</f>
        <v/>
      </c>
      <c r="BE99" s="19" t="str">
        <f aca="false">IF(AND(AN99&lt;&gt;"",D99=1),AN99+(1000-A99)/1000000,"")</f>
        <v/>
      </c>
    </row>
    <row r="100" customFormat="false" ht="15" hidden="false" customHeight="false" outlineLevel="0" collapsed="false">
      <c r="A100" s="15" t="n">
        <v>95</v>
      </c>
      <c r="B100" s="18" t="str">
        <f aca="false">IF('MEUS PROCESSOS'!J100="","",'MEUS PROCESSOS'!J100)</f>
        <v/>
      </c>
      <c r="C100" s="15" t="str">
        <f aca="false">IF('MEUS PROCESSOS'!K100="","",'MEUS PROCESSOS'!K100)</f>
        <v/>
      </c>
      <c r="D100" s="19" t="n">
        <f aca="false">'MEUS PROCESSOS'!Q100</f>
        <v>0</v>
      </c>
      <c r="E100" s="16"/>
      <c r="F100" s="16"/>
      <c r="G100" s="16"/>
      <c r="H100" s="16"/>
      <c r="I100" s="22"/>
      <c r="J100" s="23"/>
      <c r="K100" s="16"/>
      <c r="L100" s="24"/>
      <c r="M100" s="16"/>
      <c r="N100" s="24"/>
      <c r="O100" s="25" t="str">
        <f aca="false">IF(OR(E100="",F100=""),"",F100*IF(E100="Diária",Mult_Diaria,IF(E100="Semanal",Mult_Semanal,1)))</f>
        <v/>
      </c>
      <c r="P100" s="25" t="str">
        <f aca="false">IF(OR(O100="",G100="",H100=""),"",O100*G100/60*H100)</f>
        <v/>
      </c>
      <c r="Q100" s="26" t="str">
        <f aca="false">IF(I100&lt;&gt;"",I100,IF(Custo_Hora_Padrao&lt;&gt;"",Custo_Hora_Padrao,""))</f>
        <v/>
      </c>
      <c r="R100" s="27" t="str">
        <f aca="false">IF(OR(P100="",Q100=""),"",P100*Q100*12)</f>
        <v/>
      </c>
      <c r="S100" s="27" t="str">
        <f aca="false">IF(R100="","",R100*N(J100))</f>
        <v/>
      </c>
      <c r="T100" s="27" t="str">
        <f aca="false">IF(R100="","",N(K100)*N(L100)*12)</f>
        <v/>
      </c>
      <c r="U100" s="27" t="str">
        <f aca="false">IF(R100="","",(N(M100)*Q100*HE_Fator+N(N100))*12)</f>
        <v/>
      </c>
      <c r="V100" s="28" t="str">
        <f aca="false">IF(R100="","",R100+S100+T100+U100)</f>
        <v/>
      </c>
      <c r="W100" s="15" t="str">
        <f aca="false">IF(V100="","",IF(V100&lt;=Faixa_1,1,IF(V100&lt;=Faixa_2,2,IF(V100&lt;=Faixa_3,3,IF(V100&lt;=Faixa_4,4,5)))))</f>
        <v/>
      </c>
      <c r="X100" s="16"/>
      <c r="Y100" s="16"/>
      <c r="Z100" s="16"/>
      <c r="AA100" s="16"/>
      <c r="AB100" s="16"/>
      <c r="AC100" s="16"/>
      <c r="AD100" s="16"/>
      <c r="AE100" s="16"/>
      <c r="AF100" s="15" t="str">
        <f aca="false">IF(AB100&lt;&gt;"",AB100,IF('MEUS PROCESSOS'!N100="Alto",Sug_Alto,IF('MEUS PROCESSOS'!N100="Médio",Sug_Medio,IF('MEUS PROCESSOS'!N100="Baixo",Sug_Baixo,""))))</f>
        <v/>
      </c>
      <c r="AG100" s="15" t="str">
        <f aca="false">IF(AC100&lt;&gt;"",AC100,IF('MEUS PROCESSOS'!O100="Alto",Sug_Alto,IF('MEUS PROCESSOS'!O100="Médio",Sug_Medio,IF('MEUS PROCESSOS'!O100="Baixo",Sug_Baixo,""))))</f>
        <v/>
      </c>
      <c r="AH100" s="15" t="str">
        <f aca="false">IF(B100="","",IF(AND(AB100&lt;&gt;"",AC100&lt;&gt;""),"Avaliado pela empresa",IF(AND(AB100="",AC100="",'MEUS PROCESSOS'!N100&lt;&gt;""),"Sugestão da biblioteca",IF('MEUS PROCESSOS'!N100&lt;&gt;"","Parcialmente sugerido",IF(AND(AB100="",AC100=""),"","Avaliado pela empresa")))))</f>
        <v/>
      </c>
      <c r="AI100" s="18" t="str">
        <f aca="false">IF(B100="","",IF(AND((COUNTBLANK(X100:AA100)+COUNTBLANK(AD100:AE100)+(AF100="")*1+(AG100="")*1)=0,W100&lt;&gt;""),"Completo","Incompleto — faltam "&amp;IF((COUNTBLANK(X100:AA100)+COUNTBLANK(AD100:AE100)+(AF100="")*1+(AG100="")*1)&gt;0,(COUNTBLANK(X100:AA100)+COUNTBLANK(AD100:AE100)+(AF100="")*1+(AG100="")*1)&amp;IF((COUNTBLANK(X100:AA100)+COUNTBLANK(AD100:AE100)+(AF100="")*1+(AG100="")*1)=1," avaliação"," avaliações"),"")&amp;IF(AND((COUNTBLANK(X100:AA100)+COUNTBLANK(AD100:AE100)+(AF100="")*1+(AG100="")*1)&gt;0,W100=""), " e ","")&amp;IF(W100="","os dados de custo","")))</f>
        <v/>
      </c>
      <c r="AJ100" s="29" t="str">
        <f aca="false">IF($AI100&lt;&gt;"Completo","",W_Custo*(W100-1)/4+W_Imp*(X100-1)/4)</f>
        <v/>
      </c>
      <c r="AK100" s="29" t="str">
        <f aca="false">IF($AI100&lt;&gt;"Completo","",W_Pot*(MAX(AF100,AG100)-1)/4+W_Rep*(Y100-1)/4+W_Pad*(Z100-1)/4+W_Vol*(AA100-1)/4)</f>
        <v/>
      </c>
      <c r="AL100" s="29" t="str">
        <f aca="false">IF($AI100&lt;&gt;"Completo","",(1-F_Pen*(AE100-1)/4)*(1-F_Pen*(AD100-1)/4))</f>
        <v/>
      </c>
      <c r="AM100" s="29" t="str">
        <f aca="false">IF($AI100&lt;&gt;"Completo","",SQRT(AK100*AL100))</f>
        <v/>
      </c>
      <c r="AN100" s="30" t="str">
        <f aca="false">IF($AI100&lt;&gt;"Completo","",100*AJ100^Exp_V*AM100^Exp_Vb)</f>
        <v/>
      </c>
      <c r="AO100" s="15" t="str">
        <f aca="false">IF(AN100="","",IF(AJ100&gt;=Corte,IF(AM100&gt;=Corte,"Fazer primeiro","Projeto estratégico"),IF(AM100&gt;=Corte,"Quick win","Evitar")))</f>
        <v/>
      </c>
      <c r="AP100" s="15" t="str">
        <f aca="false">IF(AN100="","",IF(OR(AD100&gt;=Trava_Nota,AE100&gt;=Trava_Nota),"SIM","—"))</f>
        <v/>
      </c>
      <c r="AQ100" s="15" t="str">
        <f aca="false">IF(AN100="","",IF(MAX(AF100,AG100)&lt;=Rota_Nota,"SIM","—"))</f>
        <v/>
      </c>
      <c r="AR100" s="15" t="str">
        <f aca="false">IF(AN100="","",IF(Z100&lt;=Rota_Nota,"SIM","—"))</f>
        <v/>
      </c>
      <c r="AS100" s="15" t="str">
        <f aca="false">IF(AN100="","",IF(AP100="SIM",IF(AJ100&gt;=Corte,"Projeto estratégico","Evitar"),AO100))</f>
        <v/>
      </c>
      <c r="AT100" s="15" t="str">
        <f aca="false">IF(AN100="","",IF(OR(AND(AJ100&gt;=Fr_Min,AJ100&lt;=Fr_Max),AND(AM100&gt;=Fr_Min,AM100&lt;=Fr_Max)),"Revisar",""))</f>
        <v/>
      </c>
      <c r="AU100" s="15" t="str">
        <f aca="false">IF(BE100="","",COUNTIF($BE$6:$BE$105,"&gt;"&amp;BE100)+1)</f>
        <v/>
      </c>
      <c r="AV100" s="16"/>
      <c r="AW100" s="15" t="str">
        <f aca="false">IF(B100="","",IF(AV100&lt;&gt;"",AV100,'MEUS PROCESSOS'!M100))</f>
        <v/>
      </c>
      <c r="AX100" s="23"/>
      <c r="AY100" s="31" t="str">
        <f aca="false">IF(AW100="","",IF(AX100&lt;&gt;"",AX100,IF(AW100="S",Red_S,IF(AW100="P",Red_P,IF(AW100="A",Red_A,IF(AW100="IA",Red_IA,""))))))</f>
        <v/>
      </c>
      <c r="AZ100" s="27" t="str">
        <f aca="false">IF(OR(V100="",AY100=""),"",(T100+U100)*AY100)</f>
        <v/>
      </c>
      <c r="BA100" s="27" t="str">
        <f aca="false">IF(OR(V100="",AY100=""),"",(R100+S100)*AY100)</f>
        <v/>
      </c>
      <c r="BB100" s="27" t="str">
        <f aca="false">IF(AZ100="","",AZ100+BA100)</f>
        <v/>
      </c>
      <c r="BC100" s="27" t="str">
        <f aca="false">IF(OR(P100="",AY100=""),"",(P100*(1+N(J100))+N(M100))*12*AY100)</f>
        <v/>
      </c>
      <c r="BD100" s="18" t="str">
        <f aca="false">IF(B100="","",IF(AND(AW100="E",AX100=""),"Eliminar: informe quanto do esforço atual deixa de existir (0% a 100%). Não há percentual inicial sugerido.",IF(AND(AX100="",AY100&lt;&gt;""),"Redução pela faixa inicial para simulação","")))</f>
        <v/>
      </c>
      <c r="BE100" s="19" t="str">
        <f aca="false">IF(AND(AN100&lt;&gt;"",D100=1),AN100+(1000-A100)/1000000,"")</f>
        <v/>
      </c>
    </row>
    <row r="101" customFormat="false" ht="15" hidden="false" customHeight="false" outlineLevel="0" collapsed="false">
      <c r="A101" s="15" t="n">
        <v>96</v>
      </c>
      <c r="B101" s="18" t="str">
        <f aca="false">IF('MEUS PROCESSOS'!J101="","",'MEUS PROCESSOS'!J101)</f>
        <v/>
      </c>
      <c r="C101" s="15" t="str">
        <f aca="false">IF('MEUS PROCESSOS'!K101="","",'MEUS PROCESSOS'!K101)</f>
        <v/>
      </c>
      <c r="D101" s="19" t="n">
        <f aca="false">'MEUS PROCESSOS'!Q101</f>
        <v>0</v>
      </c>
      <c r="E101" s="16"/>
      <c r="F101" s="16"/>
      <c r="G101" s="16"/>
      <c r="H101" s="16"/>
      <c r="I101" s="22"/>
      <c r="J101" s="23"/>
      <c r="K101" s="16"/>
      <c r="L101" s="24"/>
      <c r="M101" s="16"/>
      <c r="N101" s="24"/>
      <c r="O101" s="25" t="str">
        <f aca="false">IF(OR(E101="",F101=""),"",F101*IF(E101="Diária",Mult_Diaria,IF(E101="Semanal",Mult_Semanal,1)))</f>
        <v/>
      </c>
      <c r="P101" s="25" t="str">
        <f aca="false">IF(OR(O101="",G101="",H101=""),"",O101*G101/60*H101)</f>
        <v/>
      </c>
      <c r="Q101" s="26" t="str">
        <f aca="false">IF(I101&lt;&gt;"",I101,IF(Custo_Hora_Padrao&lt;&gt;"",Custo_Hora_Padrao,""))</f>
        <v/>
      </c>
      <c r="R101" s="27" t="str">
        <f aca="false">IF(OR(P101="",Q101=""),"",P101*Q101*12)</f>
        <v/>
      </c>
      <c r="S101" s="27" t="str">
        <f aca="false">IF(R101="","",R101*N(J101))</f>
        <v/>
      </c>
      <c r="T101" s="27" t="str">
        <f aca="false">IF(R101="","",N(K101)*N(L101)*12)</f>
        <v/>
      </c>
      <c r="U101" s="27" t="str">
        <f aca="false">IF(R101="","",(N(M101)*Q101*HE_Fator+N(N101))*12)</f>
        <v/>
      </c>
      <c r="V101" s="28" t="str">
        <f aca="false">IF(R101="","",R101+S101+T101+U101)</f>
        <v/>
      </c>
      <c r="W101" s="15" t="str">
        <f aca="false">IF(V101="","",IF(V101&lt;=Faixa_1,1,IF(V101&lt;=Faixa_2,2,IF(V101&lt;=Faixa_3,3,IF(V101&lt;=Faixa_4,4,5)))))</f>
        <v/>
      </c>
      <c r="X101" s="16"/>
      <c r="Y101" s="16"/>
      <c r="Z101" s="16"/>
      <c r="AA101" s="16"/>
      <c r="AB101" s="16"/>
      <c r="AC101" s="16"/>
      <c r="AD101" s="16"/>
      <c r="AE101" s="16"/>
      <c r="AF101" s="15" t="str">
        <f aca="false">IF(AB101&lt;&gt;"",AB101,IF('MEUS PROCESSOS'!N101="Alto",Sug_Alto,IF('MEUS PROCESSOS'!N101="Médio",Sug_Medio,IF('MEUS PROCESSOS'!N101="Baixo",Sug_Baixo,""))))</f>
        <v/>
      </c>
      <c r="AG101" s="15" t="str">
        <f aca="false">IF(AC101&lt;&gt;"",AC101,IF('MEUS PROCESSOS'!O101="Alto",Sug_Alto,IF('MEUS PROCESSOS'!O101="Médio",Sug_Medio,IF('MEUS PROCESSOS'!O101="Baixo",Sug_Baixo,""))))</f>
        <v/>
      </c>
      <c r="AH101" s="15" t="str">
        <f aca="false">IF(B101="","",IF(AND(AB101&lt;&gt;"",AC101&lt;&gt;""),"Avaliado pela empresa",IF(AND(AB101="",AC101="",'MEUS PROCESSOS'!N101&lt;&gt;""),"Sugestão da biblioteca",IF('MEUS PROCESSOS'!N101&lt;&gt;"","Parcialmente sugerido",IF(AND(AB101="",AC101=""),"","Avaliado pela empresa")))))</f>
        <v/>
      </c>
      <c r="AI101" s="18" t="str">
        <f aca="false">IF(B101="","",IF(AND((COUNTBLANK(X101:AA101)+COUNTBLANK(AD101:AE101)+(AF101="")*1+(AG101="")*1)=0,W101&lt;&gt;""),"Completo","Incompleto — faltam "&amp;IF((COUNTBLANK(X101:AA101)+COUNTBLANK(AD101:AE101)+(AF101="")*1+(AG101="")*1)&gt;0,(COUNTBLANK(X101:AA101)+COUNTBLANK(AD101:AE101)+(AF101="")*1+(AG101="")*1)&amp;IF((COUNTBLANK(X101:AA101)+COUNTBLANK(AD101:AE101)+(AF101="")*1+(AG101="")*1)=1," avaliação"," avaliações"),"")&amp;IF(AND((COUNTBLANK(X101:AA101)+COUNTBLANK(AD101:AE101)+(AF101="")*1+(AG101="")*1)&gt;0,W101=""), " e ","")&amp;IF(W101="","os dados de custo","")))</f>
        <v/>
      </c>
      <c r="AJ101" s="29" t="str">
        <f aca="false">IF($AI101&lt;&gt;"Completo","",W_Custo*(W101-1)/4+W_Imp*(X101-1)/4)</f>
        <v/>
      </c>
      <c r="AK101" s="29" t="str">
        <f aca="false">IF($AI101&lt;&gt;"Completo","",W_Pot*(MAX(AF101,AG101)-1)/4+W_Rep*(Y101-1)/4+W_Pad*(Z101-1)/4+W_Vol*(AA101-1)/4)</f>
        <v/>
      </c>
      <c r="AL101" s="29" t="str">
        <f aca="false">IF($AI101&lt;&gt;"Completo","",(1-F_Pen*(AE101-1)/4)*(1-F_Pen*(AD101-1)/4))</f>
        <v/>
      </c>
      <c r="AM101" s="29" t="str">
        <f aca="false">IF($AI101&lt;&gt;"Completo","",SQRT(AK101*AL101))</f>
        <v/>
      </c>
      <c r="AN101" s="30" t="str">
        <f aca="false">IF($AI101&lt;&gt;"Completo","",100*AJ101^Exp_V*AM101^Exp_Vb)</f>
        <v/>
      </c>
      <c r="AO101" s="15" t="str">
        <f aca="false">IF(AN101="","",IF(AJ101&gt;=Corte,IF(AM101&gt;=Corte,"Fazer primeiro","Projeto estratégico"),IF(AM101&gt;=Corte,"Quick win","Evitar")))</f>
        <v/>
      </c>
      <c r="AP101" s="15" t="str">
        <f aca="false">IF(AN101="","",IF(OR(AD101&gt;=Trava_Nota,AE101&gt;=Trava_Nota),"SIM","—"))</f>
        <v/>
      </c>
      <c r="AQ101" s="15" t="str">
        <f aca="false">IF(AN101="","",IF(MAX(AF101,AG101)&lt;=Rota_Nota,"SIM","—"))</f>
        <v/>
      </c>
      <c r="AR101" s="15" t="str">
        <f aca="false">IF(AN101="","",IF(Z101&lt;=Rota_Nota,"SIM","—"))</f>
        <v/>
      </c>
      <c r="AS101" s="15" t="str">
        <f aca="false">IF(AN101="","",IF(AP101="SIM",IF(AJ101&gt;=Corte,"Projeto estratégico","Evitar"),AO101))</f>
        <v/>
      </c>
      <c r="AT101" s="15" t="str">
        <f aca="false">IF(AN101="","",IF(OR(AND(AJ101&gt;=Fr_Min,AJ101&lt;=Fr_Max),AND(AM101&gt;=Fr_Min,AM101&lt;=Fr_Max)),"Revisar",""))</f>
        <v/>
      </c>
      <c r="AU101" s="15" t="str">
        <f aca="false">IF(BE101="","",COUNTIF($BE$6:$BE$105,"&gt;"&amp;BE101)+1)</f>
        <v/>
      </c>
      <c r="AV101" s="16"/>
      <c r="AW101" s="15" t="str">
        <f aca="false">IF(B101="","",IF(AV101&lt;&gt;"",AV101,'MEUS PROCESSOS'!M101))</f>
        <v/>
      </c>
      <c r="AX101" s="23"/>
      <c r="AY101" s="31" t="str">
        <f aca="false">IF(AW101="","",IF(AX101&lt;&gt;"",AX101,IF(AW101="S",Red_S,IF(AW101="P",Red_P,IF(AW101="A",Red_A,IF(AW101="IA",Red_IA,""))))))</f>
        <v/>
      </c>
      <c r="AZ101" s="27" t="str">
        <f aca="false">IF(OR(V101="",AY101=""),"",(T101+U101)*AY101)</f>
        <v/>
      </c>
      <c r="BA101" s="27" t="str">
        <f aca="false">IF(OR(V101="",AY101=""),"",(R101+S101)*AY101)</f>
        <v/>
      </c>
      <c r="BB101" s="27" t="str">
        <f aca="false">IF(AZ101="","",AZ101+BA101)</f>
        <v/>
      </c>
      <c r="BC101" s="27" t="str">
        <f aca="false">IF(OR(P101="",AY101=""),"",(P101*(1+N(J101))+N(M101))*12*AY101)</f>
        <v/>
      </c>
      <c r="BD101" s="18" t="str">
        <f aca="false">IF(B101="","",IF(AND(AW101="E",AX101=""),"Eliminar: informe quanto do esforço atual deixa de existir (0% a 100%). Não há percentual inicial sugerido.",IF(AND(AX101="",AY101&lt;&gt;""),"Redução pela faixa inicial para simulação","")))</f>
        <v/>
      </c>
      <c r="BE101" s="19" t="str">
        <f aca="false">IF(AND(AN101&lt;&gt;"",D101=1),AN101+(1000-A101)/1000000,"")</f>
        <v/>
      </c>
    </row>
    <row r="102" customFormat="false" ht="15" hidden="false" customHeight="false" outlineLevel="0" collapsed="false">
      <c r="A102" s="15" t="n">
        <v>97</v>
      </c>
      <c r="B102" s="18" t="str">
        <f aca="false">IF('MEUS PROCESSOS'!J102="","",'MEUS PROCESSOS'!J102)</f>
        <v/>
      </c>
      <c r="C102" s="15" t="str">
        <f aca="false">IF('MEUS PROCESSOS'!K102="","",'MEUS PROCESSOS'!K102)</f>
        <v/>
      </c>
      <c r="D102" s="19" t="n">
        <f aca="false">'MEUS PROCESSOS'!Q102</f>
        <v>0</v>
      </c>
      <c r="E102" s="16"/>
      <c r="F102" s="16"/>
      <c r="G102" s="16"/>
      <c r="H102" s="16"/>
      <c r="I102" s="22"/>
      <c r="J102" s="23"/>
      <c r="K102" s="16"/>
      <c r="L102" s="24"/>
      <c r="M102" s="16"/>
      <c r="N102" s="24"/>
      <c r="O102" s="25" t="str">
        <f aca="false">IF(OR(E102="",F102=""),"",F102*IF(E102="Diária",Mult_Diaria,IF(E102="Semanal",Mult_Semanal,1)))</f>
        <v/>
      </c>
      <c r="P102" s="25" t="str">
        <f aca="false">IF(OR(O102="",G102="",H102=""),"",O102*G102/60*H102)</f>
        <v/>
      </c>
      <c r="Q102" s="26" t="str">
        <f aca="false">IF(I102&lt;&gt;"",I102,IF(Custo_Hora_Padrao&lt;&gt;"",Custo_Hora_Padrao,""))</f>
        <v/>
      </c>
      <c r="R102" s="27" t="str">
        <f aca="false">IF(OR(P102="",Q102=""),"",P102*Q102*12)</f>
        <v/>
      </c>
      <c r="S102" s="27" t="str">
        <f aca="false">IF(R102="","",R102*N(J102))</f>
        <v/>
      </c>
      <c r="T102" s="27" t="str">
        <f aca="false">IF(R102="","",N(K102)*N(L102)*12)</f>
        <v/>
      </c>
      <c r="U102" s="27" t="str">
        <f aca="false">IF(R102="","",(N(M102)*Q102*HE_Fator+N(N102))*12)</f>
        <v/>
      </c>
      <c r="V102" s="28" t="str">
        <f aca="false">IF(R102="","",R102+S102+T102+U102)</f>
        <v/>
      </c>
      <c r="W102" s="15" t="str">
        <f aca="false">IF(V102="","",IF(V102&lt;=Faixa_1,1,IF(V102&lt;=Faixa_2,2,IF(V102&lt;=Faixa_3,3,IF(V102&lt;=Faixa_4,4,5)))))</f>
        <v/>
      </c>
      <c r="X102" s="16"/>
      <c r="Y102" s="16"/>
      <c r="Z102" s="16"/>
      <c r="AA102" s="16"/>
      <c r="AB102" s="16"/>
      <c r="AC102" s="16"/>
      <c r="AD102" s="16"/>
      <c r="AE102" s="16"/>
      <c r="AF102" s="15" t="str">
        <f aca="false">IF(AB102&lt;&gt;"",AB102,IF('MEUS PROCESSOS'!N102="Alto",Sug_Alto,IF('MEUS PROCESSOS'!N102="Médio",Sug_Medio,IF('MEUS PROCESSOS'!N102="Baixo",Sug_Baixo,""))))</f>
        <v/>
      </c>
      <c r="AG102" s="15" t="str">
        <f aca="false">IF(AC102&lt;&gt;"",AC102,IF('MEUS PROCESSOS'!O102="Alto",Sug_Alto,IF('MEUS PROCESSOS'!O102="Médio",Sug_Medio,IF('MEUS PROCESSOS'!O102="Baixo",Sug_Baixo,""))))</f>
        <v/>
      </c>
      <c r="AH102" s="15" t="str">
        <f aca="false">IF(B102="","",IF(AND(AB102&lt;&gt;"",AC102&lt;&gt;""),"Avaliado pela empresa",IF(AND(AB102="",AC102="",'MEUS PROCESSOS'!N102&lt;&gt;""),"Sugestão da biblioteca",IF('MEUS PROCESSOS'!N102&lt;&gt;"","Parcialmente sugerido",IF(AND(AB102="",AC102=""),"","Avaliado pela empresa")))))</f>
        <v/>
      </c>
      <c r="AI102" s="18" t="str">
        <f aca="false">IF(B102="","",IF(AND((COUNTBLANK(X102:AA102)+COUNTBLANK(AD102:AE102)+(AF102="")*1+(AG102="")*1)=0,W102&lt;&gt;""),"Completo","Incompleto — faltam "&amp;IF((COUNTBLANK(X102:AA102)+COUNTBLANK(AD102:AE102)+(AF102="")*1+(AG102="")*1)&gt;0,(COUNTBLANK(X102:AA102)+COUNTBLANK(AD102:AE102)+(AF102="")*1+(AG102="")*1)&amp;IF((COUNTBLANK(X102:AA102)+COUNTBLANK(AD102:AE102)+(AF102="")*1+(AG102="")*1)=1," avaliação"," avaliações"),"")&amp;IF(AND((COUNTBLANK(X102:AA102)+COUNTBLANK(AD102:AE102)+(AF102="")*1+(AG102="")*1)&gt;0,W102=""), " e ","")&amp;IF(W102="","os dados de custo","")))</f>
        <v/>
      </c>
      <c r="AJ102" s="29" t="str">
        <f aca="false">IF($AI102&lt;&gt;"Completo","",W_Custo*(W102-1)/4+W_Imp*(X102-1)/4)</f>
        <v/>
      </c>
      <c r="AK102" s="29" t="str">
        <f aca="false">IF($AI102&lt;&gt;"Completo","",W_Pot*(MAX(AF102,AG102)-1)/4+W_Rep*(Y102-1)/4+W_Pad*(Z102-1)/4+W_Vol*(AA102-1)/4)</f>
        <v/>
      </c>
      <c r="AL102" s="29" t="str">
        <f aca="false">IF($AI102&lt;&gt;"Completo","",(1-F_Pen*(AE102-1)/4)*(1-F_Pen*(AD102-1)/4))</f>
        <v/>
      </c>
      <c r="AM102" s="29" t="str">
        <f aca="false">IF($AI102&lt;&gt;"Completo","",SQRT(AK102*AL102))</f>
        <v/>
      </c>
      <c r="AN102" s="30" t="str">
        <f aca="false">IF($AI102&lt;&gt;"Completo","",100*AJ102^Exp_V*AM102^Exp_Vb)</f>
        <v/>
      </c>
      <c r="AO102" s="15" t="str">
        <f aca="false">IF(AN102="","",IF(AJ102&gt;=Corte,IF(AM102&gt;=Corte,"Fazer primeiro","Projeto estratégico"),IF(AM102&gt;=Corte,"Quick win","Evitar")))</f>
        <v/>
      </c>
      <c r="AP102" s="15" t="str">
        <f aca="false">IF(AN102="","",IF(OR(AD102&gt;=Trava_Nota,AE102&gt;=Trava_Nota),"SIM","—"))</f>
        <v/>
      </c>
      <c r="AQ102" s="15" t="str">
        <f aca="false">IF(AN102="","",IF(MAX(AF102,AG102)&lt;=Rota_Nota,"SIM","—"))</f>
        <v/>
      </c>
      <c r="AR102" s="15" t="str">
        <f aca="false">IF(AN102="","",IF(Z102&lt;=Rota_Nota,"SIM","—"))</f>
        <v/>
      </c>
      <c r="AS102" s="15" t="str">
        <f aca="false">IF(AN102="","",IF(AP102="SIM",IF(AJ102&gt;=Corte,"Projeto estratégico","Evitar"),AO102))</f>
        <v/>
      </c>
      <c r="AT102" s="15" t="str">
        <f aca="false">IF(AN102="","",IF(OR(AND(AJ102&gt;=Fr_Min,AJ102&lt;=Fr_Max),AND(AM102&gt;=Fr_Min,AM102&lt;=Fr_Max)),"Revisar",""))</f>
        <v/>
      </c>
      <c r="AU102" s="15" t="str">
        <f aca="false">IF(BE102="","",COUNTIF($BE$6:$BE$105,"&gt;"&amp;BE102)+1)</f>
        <v/>
      </c>
      <c r="AV102" s="16"/>
      <c r="AW102" s="15" t="str">
        <f aca="false">IF(B102="","",IF(AV102&lt;&gt;"",AV102,'MEUS PROCESSOS'!M102))</f>
        <v/>
      </c>
      <c r="AX102" s="23"/>
      <c r="AY102" s="31" t="str">
        <f aca="false">IF(AW102="","",IF(AX102&lt;&gt;"",AX102,IF(AW102="S",Red_S,IF(AW102="P",Red_P,IF(AW102="A",Red_A,IF(AW102="IA",Red_IA,""))))))</f>
        <v/>
      </c>
      <c r="AZ102" s="27" t="str">
        <f aca="false">IF(OR(V102="",AY102=""),"",(T102+U102)*AY102)</f>
        <v/>
      </c>
      <c r="BA102" s="27" t="str">
        <f aca="false">IF(OR(V102="",AY102=""),"",(R102+S102)*AY102)</f>
        <v/>
      </c>
      <c r="BB102" s="27" t="str">
        <f aca="false">IF(AZ102="","",AZ102+BA102)</f>
        <v/>
      </c>
      <c r="BC102" s="27" t="str">
        <f aca="false">IF(OR(P102="",AY102=""),"",(P102*(1+N(J102))+N(M102))*12*AY102)</f>
        <v/>
      </c>
      <c r="BD102" s="18" t="str">
        <f aca="false">IF(B102="","",IF(AND(AW102="E",AX102=""),"Eliminar: informe quanto do esforço atual deixa de existir (0% a 100%). Não há percentual inicial sugerido.",IF(AND(AX102="",AY102&lt;&gt;""),"Redução pela faixa inicial para simulação","")))</f>
        <v/>
      </c>
      <c r="BE102" s="19" t="str">
        <f aca="false">IF(AND(AN102&lt;&gt;"",D102=1),AN102+(1000-A102)/1000000,"")</f>
        <v/>
      </c>
    </row>
    <row r="103" customFormat="false" ht="15" hidden="false" customHeight="false" outlineLevel="0" collapsed="false">
      <c r="A103" s="15" t="n">
        <v>98</v>
      </c>
      <c r="B103" s="18" t="str">
        <f aca="false">IF('MEUS PROCESSOS'!J103="","",'MEUS PROCESSOS'!J103)</f>
        <v/>
      </c>
      <c r="C103" s="15" t="str">
        <f aca="false">IF('MEUS PROCESSOS'!K103="","",'MEUS PROCESSOS'!K103)</f>
        <v/>
      </c>
      <c r="D103" s="19" t="n">
        <f aca="false">'MEUS PROCESSOS'!Q103</f>
        <v>0</v>
      </c>
      <c r="E103" s="16"/>
      <c r="F103" s="16"/>
      <c r="G103" s="16"/>
      <c r="H103" s="16"/>
      <c r="I103" s="22"/>
      <c r="J103" s="23"/>
      <c r="K103" s="16"/>
      <c r="L103" s="24"/>
      <c r="M103" s="16"/>
      <c r="N103" s="24"/>
      <c r="O103" s="25" t="str">
        <f aca="false">IF(OR(E103="",F103=""),"",F103*IF(E103="Diária",Mult_Diaria,IF(E103="Semanal",Mult_Semanal,1)))</f>
        <v/>
      </c>
      <c r="P103" s="25" t="str">
        <f aca="false">IF(OR(O103="",G103="",H103=""),"",O103*G103/60*H103)</f>
        <v/>
      </c>
      <c r="Q103" s="26" t="str">
        <f aca="false">IF(I103&lt;&gt;"",I103,IF(Custo_Hora_Padrao&lt;&gt;"",Custo_Hora_Padrao,""))</f>
        <v/>
      </c>
      <c r="R103" s="27" t="str">
        <f aca="false">IF(OR(P103="",Q103=""),"",P103*Q103*12)</f>
        <v/>
      </c>
      <c r="S103" s="27" t="str">
        <f aca="false">IF(R103="","",R103*N(J103))</f>
        <v/>
      </c>
      <c r="T103" s="27" t="str">
        <f aca="false">IF(R103="","",N(K103)*N(L103)*12)</f>
        <v/>
      </c>
      <c r="U103" s="27" t="str">
        <f aca="false">IF(R103="","",(N(M103)*Q103*HE_Fator+N(N103))*12)</f>
        <v/>
      </c>
      <c r="V103" s="28" t="str">
        <f aca="false">IF(R103="","",R103+S103+T103+U103)</f>
        <v/>
      </c>
      <c r="W103" s="15" t="str">
        <f aca="false">IF(V103="","",IF(V103&lt;=Faixa_1,1,IF(V103&lt;=Faixa_2,2,IF(V103&lt;=Faixa_3,3,IF(V103&lt;=Faixa_4,4,5)))))</f>
        <v/>
      </c>
      <c r="X103" s="16"/>
      <c r="Y103" s="16"/>
      <c r="Z103" s="16"/>
      <c r="AA103" s="16"/>
      <c r="AB103" s="16"/>
      <c r="AC103" s="16"/>
      <c r="AD103" s="16"/>
      <c r="AE103" s="16"/>
      <c r="AF103" s="15" t="str">
        <f aca="false">IF(AB103&lt;&gt;"",AB103,IF('MEUS PROCESSOS'!N103="Alto",Sug_Alto,IF('MEUS PROCESSOS'!N103="Médio",Sug_Medio,IF('MEUS PROCESSOS'!N103="Baixo",Sug_Baixo,""))))</f>
        <v/>
      </c>
      <c r="AG103" s="15" t="str">
        <f aca="false">IF(AC103&lt;&gt;"",AC103,IF('MEUS PROCESSOS'!O103="Alto",Sug_Alto,IF('MEUS PROCESSOS'!O103="Médio",Sug_Medio,IF('MEUS PROCESSOS'!O103="Baixo",Sug_Baixo,""))))</f>
        <v/>
      </c>
      <c r="AH103" s="15" t="str">
        <f aca="false">IF(B103="","",IF(AND(AB103&lt;&gt;"",AC103&lt;&gt;""),"Avaliado pela empresa",IF(AND(AB103="",AC103="",'MEUS PROCESSOS'!N103&lt;&gt;""),"Sugestão da biblioteca",IF('MEUS PROCESSOS'!N103&lt;&gt;"","Parcialmente sugerido",IF(AND(AB103="",AC103=""),"","Avaliado pela empresa")))))</f>
        <v/>
      </c>
      <c r="AI103" s="18" t="str">
        <f aca="false">IF(B103="","",IF(AND((COUNTBLANK(X103:AA103)+COUNTBLANK(AD103:AE103)+(AF103="")*1+(AG103="")*1)=0,W103&lt;&gt;""),"Completo","Incompleto — faltam "&amp;IF((COUNTBLANK(X103:AA103)+COUNTBLANK(AD103:AE103)+(AF103="")*1+(AG103="")*1)&gt;0,(COUNTBLANK(X103:AA103)+COUNTBLANK(AD103:AE103)+(AF103="")*1+(AG103="")*1)&amp;IF((COUNTBLANK(X103:AA103)+COUNTBLANK(AD103:AE103)+(AF103="")*1+(AG103="")*1)=1," avaliação"," avaliações"),"")&amp;IF(AND((COUNTBLANK(X103:AA103)+COUNTBLANK(AD103:AE103)+(AF103="")*1+(AG103="")*1)&gt;0,W103=""), " e ","")&amp;IF(W103="","os dados de custo","")))</f>
        <v/>
      </c>
      <c r="AJ103" s="29" t="str">
        <f aca="false">IF($AI103&lt;&gt;"Completo","",W_Custo*(W103-1)/4+W_Imp*(X103-1)/4)</f>
        <v/>
      </c>
      <c r="AK103" s="29" t="str">
        <f aca="false">IF($AI103&lt;&gt;"Completo","",W_Pot*(MAX(AF103,AG103)-1)/4+W_Rep*(Y103-1)/4+W_Pad*(Z103-1)/4+W_Vol*(AA103-1)/4)</f>
        <v/>
      </c>
      <c r="AL103" s="29" t="str">
        <f aca="false">IF($AI103&lt;&gt;"Completo","",(1-F_Pen*(AE103-1)/4)*(1-F_Pen*(AD103-1)/4))</f>
        <v/>
      </c>
      <c r="AM103" s="29" t="str">
        <f aca="false">IF($AI103&lt;&gt;"Completo","",SQRT(AK103*AL103))</f>
        <v/>
      </c>
      <c r="AN103" s="30" t="str">
        <f aca="false">IF($AI103&lt;&gt;"Completo","",100*AJ103^Exp_V*AM103^Exp_Vb)</f>
        <v/>
      </c>
      <c r="AO103" s="15" t="str">
        <f aca="false">IF(AN103="","",IF(AJ103&gt;=Corte,IF(AM103&gt;=Corte,"Fazer primeiro","Projeto estratégico"),IF(AM103&gt;=Corte,"Quick win","Evitar")))</f>
        <v/>
      </c>
      <c r="AP103" s="15" t="str">
        <f aca="false">IF(AN103="","",IF(OR(AD103&gt;=Trava_Nota,AE103&gt;=Trava_Nota),"SIM","—"))</f>
        <v/>
      </c>
      <c r="AQ103" s="15" t="str">
        <f aca="false">IF(AN103="","",IF(MAX(AF103,AG103)&lt;=Rota_Nota,"SIM","—"))</f>
        <v/>
      </c>
      <c r="AR103" s="15" t="str">
        <f aca="false">IF(AN103="","",IF(Z103&lt;=Rota_Nota,"SIM","—"))</f>
        <v/>
      </c>
      <c r="AS103" s="15" t="str">
        <f aca="false">IF(AN103="","",IF(AP103="SIM",IF(AJ103&gt;=Corte,"Projeto estratégico","Evitar"),AO103))</f>
        <v/>
      </c>
      <c r="AT103" s="15" t="str">
        <f aca="false">IF(AN103="","",IF(OR(AND(AJ103&gt;=Fr_Min,AJ103&lt;=Fr_Max),AND(AM103&gt;=Fr_Min,AM103&lt;=Fr_Max)),"Revisar",""))</f>
        <v/>
      </c>
      <c r="AU103" s="15" t="str">
        <f aca="false">IF(BE103="","",COUNTIF($BE$6:$BE$105,"&gt;"&amp;BE103)+1)</f>
        <v/>
      </c>
      <c r="AV103" s="16"/>
      <c r="AW103" s="15" t="str">
        <f aca="false">IF(B103="","",IF(AV103&lt;&gt;"",AV103,'MEUS PROCESSOS'!M103))</f>
        <v/>
      </c>
      <c r="AX103" s="23"/>
      <c r="AY103" s="31" t="str">
        <f aca="false">IF(AW103="","",IF(AX103&lt;&gt;"",AX103,IF(AW103="S",Red_S,IF(AW103="P",Red_P,IF(AW103="A",Red_A,IF(AW103="IA",Red_IA,""))))))</f>
        <v/>
      </c>
      <c r="AZ103" s="27" t="str">
        <f aca="false">IF(OR(V103="",AY103=""),"",(T103+U103)*AY103)</f>
        <v/>
      </c>
      <c r="BA103" s="27" t="str">
        <f aca="false">IF(OR(V103="",AY103=""),"",(R103+S103)*AY103)</f>
        <v/>
      </c>
      <c r="BB103" s="27" t="str">
        <f aca="false">IF(AZ103="","",AZ103+BA103)</f>
        <v/>
      </c>
      <c r="BC103" s="27" t="str">
        <f aca="false">IF(OR(P103="",AY103=""),"",(P103*(1+N(J103))+N(M103))*12*AY103)</f>
        <v/>
      </c>
      <c r="BD103" s="18" t="str">
        <f aca="false">IF(B103="","",IF(AND(AW103="E",AX103=""),"Eliminar: informe quanto do esforço atual deixa de existir (0% a 100%). Não há percentual inicial sugerido.",IF(AND(AX103="",AY103&lt;&gt;""),"Redução pela faixa inicial para simulação","")))</f>
        <v/>
      </c>
      <c r="BE103" s="19" t="str">
        <f aca="false">IF(AND(AN103&lt;&gt;"",D103=1),AN103+(1000-A103)/1000000,"")</f>
        <v/>
      </c>
    </row>
    <row r="104" customFormat="false" ht="15" hidden="false" customHeight="false" outlineLevel="0" collapsed="false">
      <c r="A104" s="15" t="n">
        <v>99</v>
      </c>
      <c r="B104" s="18" t="str">
        <f aca="false">IF('MEUS PROCESSOS'!J104="","",'MEUS PROCESSOS'!J104)</f>
        <v/>
      </c>
      <c r="C104" s="15" t="str">
        <f aca="false">IF('MEUS PROCESSOS'!K104="","",'MEUS PROCESSOS'!K104)</f>
        <v/>
      </c>
      <c r="D104" s="19" t="n">
        <f aca="false">'MEUS PROCESSOS'!Q104</f>
        <v>0</v>
      </c>
      <c r="E104" s="16"/>
      <c r="F104" s="16"/>
      <c r="G104" s="16"/>
      <c r="H104" s="16"/>
      <c r="I104" s="22"/>
      <c r="J104" s="23"/>
      <c r="K104" s="16"/>
      <c r="L104" s="24"/>
      <c r="M104" s="16"/>
      <c r="N104" s="24"/>
      <c r="O104" s="25" t="str">
        <f aca="false">IF(OR(E104="",F104=""),"",F104*IF(E104="Diária",Mult_Diaria,IF(E104="Semanal",Mult_Semanal,1)))</f>
        <v/>
      </c>
      <c r="P104" s="25" t="str">
        <f aca="false">IF(OR(O104="",G104="",H104=""),"",O104*G104/60*H104)</f>
        <v/>
      </c>
      <c r="Q104" s="26" t="str">
        <f aca="false">IF(I104&lt;&gt;"",I104,IF(Custo_Hora_Padrao&lt;&gt;"",Custo_Hora_Padrao,""))</f>
        <v/>
      </c>
      <c r="R104" s="27" t="str">
        <f aca="false">IF(OR(P104="",Q104=""),"",P104*Q104*12)</f>
        <v/>
      </c>
      <c r="S104" s="27" t="str">
        <f aca="false">IF(R104="","",R104*N(J104))</f>
        <v/>
      </c>
      <c r="T104" s="27" t="str">
        <f aca="false">IF(R104="","",N(K104)*N(L104)*12)</f>
        <v/>
      </c>
      <c r="U104" s="27" t="str">
        <f aca="false">IF(R104="","",(N(M104)*Q104*HE_Fator+N(N104))*12)</f>
        <v/>
      </c>
      <c r="V104" s="28" t="str">
        <f aca="false">IF(R104="","",R104+S104+T104+U104)</f>
        <v/>
      </c>
      <c r="W104" s="15" t="str">
        <f aca="false">IF(V104="","",IF(V104&lt;=Faixa_1,1,IF(V104&lt;=Faixa_2,2,IF(V104&lt;=Faixa_3,3,IF(V104&lt;=Faixa_4,4,5)))))</f>
        <v/>
      </c>
      <c r="X104" s="16"/>
      <c r="Y104" s="16"/>
      <c r="Z104" s="16"/>
      <c r="AA104" s="16"/>
      <c r="AB104" s="16"/>
      <c r="AC104" s="16"/>
      <c r="AD104" s="16"/>
      <c r="AE104" s="16"/>
      <c r="AF104" s="15" t="str">
        <f aca="false">IF(AB104&lt;&gt;"",AB104,IF('MEUS PROCESSOS'!N104="Alto",Sug_Alto,IF('MEUS PROCESSOS'!N104="Médio",Sug_Medio,IF('MEUS PROCESSOS'!N104="Baixo",Sug_Baixo,""))))</f>
        <v/>
      </c>
      <c r="AG104" s="15" t="str">
        <f aca="false">IF(AC104&lt;&gt;"",AC104,IF('MEUS PROCESSOS'!O104="Alto",Sug_Alto,IF('MEUS PROCESSOS'!O104="Médio",Sug_Medio,IF('MEUS PROCESSOS'!O104="Baixo",Sug_Baixo,""))))</f>
        <v/>
      </c>
      <c r="AH104" s="15" t="str">
        <f aca="false">IF(B104="","",IF(AND(AB104&lt;&gt;"",AC104&lt;&gt;""),"Avaliado pela empresa",IF(AND(AB104="",AC104="",'MEUS PROCESSOS'!N104&lt;&gt;""),"Sugestão da biblioteca",IF('MEUS PROCESSOS'!N104&lt;&gt;"","Parcialmente sugerido",IF(AND(AB104="",AC104=""),"","Avaliado pela empresa")))))</f>
        <v/>
      </c>
      <c r="AI104" s="18" t="str">
        <f aca="false">IF(B104="","",IF(AND((COUNTBLANK(X104:AA104)+COUNTBLANK(AD104:AE104)+(AF104="")*1+(AG104="")*1)=0,W104&lt;&gt;""),"Completo","Incompleto — faltam "&amp;IF((COUNTBLANK(X104:AA104)+COUNTBLANK(AD104:AE104)+(AF104="")*1+(AG104="")*1)&gt;0,(COUNTBLANK(X104:AA104)+COUNTBLANK(AD104:AE104)+(AF104="")*1+(AG104="")*1)&amp;IF((COUNTBLANK(X104:AA104)+COUNTBLANK(AD104:AE104)+(AF104="")*1+(AG104="")*1)=1," avaliação"," avaliações"),"")&amp;IF(AND((COUNTBLANK(X104:AA104)+COUNTBLANK(AD104:AE104)+(AF104="")*1+(AG104="")*1)&gt;0,W104=""), " e ","")&amp;IF(W104="","os dados de custo","")))</f>
        <v/>
      </c>
      <c r="AJ104" s="29" t="str">
        <f aca="false">IF($AI104&lt;&gt;"Completo","",W_Custo*(W104-1)/4+W_Imp*(X104-1)/4)</f>
        <v/>
      </c>
      <c r="AK104" s="29" t="str">
        <f aca="false">IF($AI104&lt;&gt;"Completo","",W_Pot*(MAX(AF104,AG104)-1)/4+W_Rep*(Y104-1)/4+W_Pad*(Z104-1)/4+W_Vol*(AA104-1)/4)</f>
        <v/>
      </c>
      <c r="AL104" s="29" t="str">
        <f aca="false">IF($AI104&lt;&gt;"Completo","",(1-F_Pen*(AE104-1)/4)*(1-F_Pen*(AD104-1)/4))</f>
        <v/>
      </c>
      <c r="AM104" s="29" t="str">
        <f aca="false">IF($AI104&lt;&gt;"Completo","",SQRT(AK104*AL104))</f>
        <v/>
      </c>
      <c r="AN104" s="30" t="str">
        <f aca="false">IF($AI104&lt;&gt;"Completo","",100*AJ104^Exp_V*AM104^Exp_Vb)</f>
        <v/>
      </c>
      <c r="AO104" s="15" t="str">
        <f aca="false">IF(AN104="","",IF(AJ104&gt;=Corte,IF(AM104&gt;=Corte,"Fazer primeiro","Projeto estratégico"),IF(AM104&gt;=Corte,"Quick win","Evitar")))</f>
        <v/>
      </c>
      <c r="AP104" s="15" t="str">
        <f aca="false">IF(AN104="","",IF(OR(AD104&gt;=Trava_Nota,AE104&gt;=Trava_Nota),"SIM","—"))</f>
        <v/>
      </c>
      <c r="AQ104" s="15" t="str">
        <f aca="false">IF(AN104="","",IF(MAX(AF104,AG104)&lt;=Rota_Nota,"SIM","—"))</f>
        <v/>
      </c>
      <c r="AR104" s="15" t="str">
        <f aca="false">IF(AN104="","",IF(Z104&lt;=Rota_Nota,"SIM","—"))</f>
        <v/>
      </c>
      <c r="AS104" s="15" t="str">
        <f aca="false">IF(AN104="","",IF(AP104="SIM",IF(AJ104&gt;=Corte,"Projeto estratégico","Evitar"),AO104))</f>
        <v/>
      </c>
      <c r="AT104" s="15" t="str">
        <f aca="false">IF(AN104="","",IF(OR(AND(AJ104&gt;=Fr_Min,AJ104&lt;=Fr_Max),AND(AM104&gt;=Fr_Min,AM104&lt;=Fr_Max)),"Revisar",""))</f>
        <v/>
      </c>
      <c r="AU104" s="15" t="str">
        <f aca="false">IF(BE104="","",COUNTIF($BE$6:$BE$105,"&gt;"&amp;BE104)+1)</f>
        <v/>
      </c>
      <c r="AV104" s="16"/>
      <c r="AW104" s="15" t="str">
        <f aca="false">IF(B104="","",IF(AV104&lt;&gt;"",AV104,'MEUS PROCESSOS'!M104))</f>
        <v/>
      </c>
      <c r="AX104" s="23"/>
      <c r="AY104" s="31" t="str">
        <f aca="false">IF(AW104="","",IF(AX104&lt;&gt;"",AX104,IF(AW104="S",Red_S,IF(AW104="P",Red_P,IF(AW104="A",Red_A,IF(AW104="IA",Red_IA,""))))))</f>
        <v/>
      </c>
      <c r="AZ104" s="27" t="str">
        <f aca="false">IF(OR(V104="",AY104=""),"",(T104+U104)*AY104)</f>
        <v/>
      </c>
      <c r="BA104" s="27" t="str">
        <f aca="false">IF(OR(V104="",AY104=""),"",(R104+S104)*AY104)</f>
        <v/>
      </c>
      <c r="BB104" s="27" t="str">
        <f aca="false">IF(AZ104="","",AZ104+BA104)</f>
        <v/>
      </c>
      <c r="BC104" s="27" t="str">
        <f aca="false">IF(OR(P104="",AY104=""),"",(P104*(1+N(J104))+N(M104))*12*AY104)</f>
        <v/>
      </c>
      <c r="BD104" s="18" t="str">
        <f aca="false">IF(B104="","",IF(AND(AW104="E",AX104=""),"Eliminar: informe quanto do esforço atual deixa de existir (0% a 100%). Não há percentual inicial sugerido.",IF(AND(AX104="",AY104&lt;&gt;""),"Redução pela faixa inicial para simulação","")))</f>
        <v/>
      </c>
      <c r="BE104" s="19" t="str">
        <f aca="false">IF(AND(AN104&lt;&gt;"",D104=1),AN104+(1000-A104)/1000000,"")</f>
        <v/>
      </c>
    </row>
    <row r="105" customFormat="false" ht="15" hidden="false" customHeight="false" outlineLevel="0" collapsed="false">
      <c r="A105" s="15" t="n">
        <v>100</v>
      </c>
      <c r="B105" s="18" t="str">
        <f aca="false">IF('MEUS PROCESSOS'!J105="","",'MEUS PROCESSOS'!J105)</f>
        <v/>
      </c>
      <c r="C105" s="15" t="str">
        <f aca="false">IF('MEUS PROCESSOS'!K105="","",'MEUS PROCESSOS'!K105)</f>
        <v/>
      </c>
      <c r="D105" s="19" t="n">
        <f aca="false">'MEUS PROCESSOS'!Q105</f>
        <v>0</v>
      </c>
      <c r="E105" s="16"/>
      <c r="F105" s="16"/>
      <c r="G105" s="16"/>
      <c r="H105" s="16"/>
      <c r="I105" s="22"/>
      <c r="J105" s="23"/>
      <c r="K105" s="16"/>
      <c r="L105" s="24"/>
      <c r="M105" s="16"/>
      <c r="N105" s="24"/>
      <c r="O105" s="25" t="str">
        <f aca="false">IF(OR(E105="",F105=""),"",F105*IF(E105="Diária",Mult_Diaria,IF(E105="Semanal",Mult_Semanal,1)))</f>
        <v/>
      </c>
      <c r="P105" s="25" t="str">
        <f aca="false">IF(OR(O105="",G105="",H105=""),"",O105*G105/60*H105)</f>
        <v/>
      </c>
      <c r="Q105" s="26" t="str">
        <f aca="false">IF(I105&lt;&gt;"",I105,IF(Custo_Hora_Padrao&lt;&gt;"",Custo_Hora_Padrao,""))</f>
        <v/>
      </c>
      <c r="R105" s="27" t="str">
        <f aca="false">IF(OR(P105="",Q105=""),"",P105*Q105*12)</f>
        <v/>
      </c>
      <c r="S105" s="27" t="str">
        <f aca="false">IF(R105="","",R105*N(J105))</f>
        <v/>
      </c>
      <c r="T105" s="27" t="str">
        <f aca="false">IF(R105="","",N(K105)*N(L105)*12)</f>
        <v/>
      </c>
      <c r="U105" s="27" t="str">
        <f aca="false">IF(R105="","",(N(M105)*Q105*HE_Fator+N(N105))*12)</f>
        <v/>
      </c>
      <c r="V105" s="28" t="str">
        <f aca="false">IF(R105="","",R105+S105+T105+U105)</f>
        <v/>
      </c>
      <c r="W105" s="15" t="str">
        <f aca="false">IF(V105="","",IF(V105&lt;=Faixa_1,1,IF(V105&lt;=Faixa_2,2,IF(V105&lt;=Faixa_3,3,IF(V105&lt;=Faixa_4,4,5)))))</f>
        <v/>
      </c>
      <c r="X105" s="16"/>
      <c r="Y105" s="16"/>
      <c r="Z105" s="16"/>
      <c r="AA105" s="16"/>
      <c r="AB105" s="16"/>
      <c r="AC105" s="16"/>
      <c r="AD105" s="16"/>
      <c r="AE105" s="16"/>
      <c r="AF105" s="15" t="str">
        <f aca="false">IF(AB105&lt;&gt;"",AB105,IF('MEUS PROCESSOS'!N105="Alto",Sug_Alto,IF('MEUS PROCESSOS'!N105="Médio",Sug_Medio,IF('MEUS PROCESSOS'!N105="Baixo",Sug_Baixo,""))))</f>
        <v/>
      </c>
      <c r="AG105" s="15" t="str">
        <f aca="false">IF(AC105&lt;&gt;"",AC105,IF('MEUS PROCESSOS'!O105="Alto",Sug_Alto,IF('MEUS PROCESSOS'!O105="Médio",Sug_Medio,IF('MEUS PROCESSOS'!O105="Baixo",Sug_Baixo,""))))</f>
        <v/>
      </c>
      <c r="AH105" s="15" t="str">
        <f aca="false">IF(B105="","",IF(AND(AB105&lt;&gt;"",AC105&lt;&gt;""),"Avaliado pela empresa",IF(AND(AB105="",AC105="",'MEUS PROCESSOS'!N105&lt;&gt;""),"Sugestão da biblioteca",IF('MEUS PROCESSOS'!N105&lt;&gt;"","Parcialmente sugerido",IF(AND(AB105="",AC105=""),"","Avaliado pela empresa")))))</f>
        <v/>
      </c>
      <c r="AI105" s="18" t="str">
        <f aca="false">IF(B105="","",IF(AND((COUNTBLANK(X105:AA105)+COUNTBLANK(AD105:AE105)+(AF105="")*1+(AG105="")*1)=0,W105&lt;&gt;""),"Completo","Incompleto — faltam "&amp;IF((COUNTBLANK(X105:AA105)+COUNTBLANK(AD105:AE105)+(AF105="")*1+(AG105="")*1)&gt;0,(COUNTBLANK(X105:AA105)+COUNTBLANK(AD105:AE105)+(AF105="")*1+(AG105="")*1)&amp;IF((COUNTBLANK(X105:AA105)+COUNTBLANK(AD105:AE105)+(AF105="")*1+(AG105="")*1)=1," avaliação"," avaliações"),"")&amp;IF(AND((COUNTBLANK(X105:AA105)+COUNTBLANK(AD105:AE105)+(AF105="")*1+(AG105="")*1)&gt;0,W105=""), " e ","")&amp;IF(W105="","os dados de custo","")))</f>
        <v/>
      </c>
      <c r="AJ105" s="29" t="str">
        <f aca="false">IF($AI105&lt;&gt;"Completo","",W_Custo*(W105-1)/4+W_Imp*(X105-1)/4)</f>
        <v/>
      </c>
      <c r="AK105" s="29" t="str">
        <f aca="false">IF($AI105&lt;&gt;"Completo","",W_Pot*(MAX(AF105,AG105)-1)/4+W_Rep*(Y105-1)/4+W_Pad*(Z105-1)/4+W_Vol*(AA105-1)/4)</f>
        <v/>
      </c>
      <c r="AL105" s="29" t="str">
        <f aca="false">IF($AI105&lt;&gt;"Completo","",(1-F_Pen*(AE105-1)/4)*(1-F_Pen*(AD105-1)/4))</f>
        <v/>
      </c>
      <c r="AM105" s="29" t="str">
        <f aca="false">IF($AI105&lt;&gt;"Completo","",SQRT(AK105*AL105))</f>
        <v/>
      </c>
      <c r="AN105" s="30" t="str">
        <f aca="false">IF($AI105&lt;&gt;"Completo","",100*AJ105^Exp_V*AM105^Exp_Vb)</f>
        <v/>
      </c>
      <c r="AO105" s="15" t="str">
        <f aca="false">IF(AN105="","",IF(AJ105&gt;=Corte,IF(AM105&gt;=Corte,"Fazer primeiro","Projeto estratégico"),IF(AM105&gt;=Corte,"Quick win","Evitar")))</f>
        <v/>
      </c>
      <c r="AP105" s="15" t="str">
        <f aca="false">IF(AN105="","",IF(OR(AD105&gt;=Trava_Nota,AE105&gt;=Trava_Nota),"SIM","—"))</f>
        <v/>
      </c>
      <c r="AQ105" s="15" t="str">
        <f aca="false">IF(AN105="","",IF(MAX(AF105,AG105)&lt;=Rota_Nota,"SIM","—"))</f>
        <v/>
      </c>
      <c r="AR105" s="15" t="str">
        <f aca="false">IF(AN105="","",IF(Z105&lt;=Rota_Nota,"SIM","—"))</f>
        <v/>
      </c>
      <c r="AS105" s="15" t="str">
        <f aca="false">IF(AN105="","",IF(AP105="SIM",IF(AJ105&gt;=Corte,"Projeto estratégico","Evitar"),AO105))</f>
        <v/>
      </c>
      <c r="AT105" s="15" t="str">
        <f aca="false">IF(AN105="","",IF(OR(AND(AJ105&gt;=Fr_Min,AJ105&lt;=Fr_Max),AND(AM105&gt;=Fr_Min,AM105&lt;=Fr_Max)),"Revisar",""))</f>
        <v/>
      </c>
      <c r="AU105" s="15" t="str">
        <f aca="false">IF(BE105="","",COUNTIF($BE$6:$BE$105,"&gt;"&amp;BE105)+1)</f>
        <v/>
      </c>
      <c r="AV105" s="16"/>
      <c r="AW105" s="15" t="str">
        <f aca="false">IF(B105="","",IF(AV105&lt;&gt;"",AV105,'MEUS PROCESSOS'!M105))</f>
        <v/>
      </c>
      <c r="AX105" s="23"/>
      <c r="AY105" s="31" t="str">
        <f aca="false">IF(AW105="","",IF(AX105&lt;&gt;"",AX105,IF(AW105="S",Red_S,IF(AW105="P",Red_P,IF(AW105="A",Red_A,IF(AW105="IA",Red_IA,""))))))</f>
        <v/>
      </c>
      <c r="AZ105" s="27" t="str">
        <f aca="false">IF(OR(V105="",AY105=""),"",(T105+U105)*AY105)</f>
        <v/>
      </c>
      <c r="BA105" s="27" t="str">
        <f aca="false">IF(OR(V105="",AY105=""),"",(R105+S105)*AY105)</f>
        <v/>
      </c>
      <c r="BB105" s="27" t="str">
        <f aca="false">IF(AZ105="","",AZ105+BA105)</f>
        <v/>
      </c>
      <c r="BC105" s="27" t="str">
        <f aca="false">IF(OR(P105="",AY105=""),"",(P105*(1+N(J105))+N(M105))*12*AY105)</f>
        <v/>
      </c>
      <c r="BD105" s="18" t="str">
        <f aca="false">IF(B105="","",IF(AND(AW105="E",AX105=""),"Eliminar: informe quanto do esforço atual deixa de existir (0% a 100%). Não há percentual inicial sugerido.",IF(AND(AX105="",AY105&lt;&gt;""),"Redução pela faixa inicial para simulação","")))</f>
        <v/>
      </c>
      <c r="BE105" s="19" t="str">
        <f aca="false">IF(AND(AN105&lt;&gt;"",D105=1),AN105+(1000-A105)/1000000,"")</f>
        <v/>
      </c>
    </row>
  </sheetData>
  <sheetProtection sheet="true" formatColumns="false" formatRows="false" sort="false" autoFilter="false"/>
  <autoFilter ref="A5:BE105"/>
  <mergeCells count="6">
    <mergeCell ref="E4:N4"/>
    <mergeCell ref="O4:W4"/>
    <mergeCell ref="X4:AE4"/>
    <mergeCell ref="AF4:AI4"/>
    <mergeCell ref="AJ4:AU4"/>
    <mergeCell ref="AV4:BD4"/>
  </mergeCells>
  <dataValidations count="12">
    <dataValidation allowBlank="true" errorStyle="stop" operator="between" showDropDown="false" showErrorMessage="true" showInputMessage="false" sqref="E6:E105" type="list">
      <formula1>L_Freq</formula1>
      <formula2>0</formula2>
    </dataValidation>
    <dataValidation allowBlank="true" errorStyle="stop" operator="between" prompt="0%, 5%, 15% ou 30%" promptTitle="Método MAPA" showDropDown="false" showErrorMessage="true" showInputMessage="true" sqref="J6:J105" type="list">
      <formula1>L_Retrab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X6:X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Y6:Y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Z6:Z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AA6:AA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AB6:AB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AC6:AC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AD6:AD105" type="list">
      <formula1>L_Notas</formula1>
      <formula2>0</formula2>
    </dataValidation>
    <dataValidation allowBlank="true" errorStyle="stop" operator="between" prompt="Nota de 1 a 5, pela régua da Parte 3" promptTitle="Método MAPA" showDropDown="false" showErrorMessage="true" showInputMessage="true" sqref="AE6:AE105" type="list">
      <formula1>L_Notas</formula1>
      <formula2>0</formula2>
    </dataValidation>
    <dataValidation allowBlank="true" errorStyle="stop" operator="between" prompt="Vazio = 1º degrau do cadastro" promptTitle="Método MAPA" showDropDown="false" showErrorMessage="true" showInputMessage="true" sqref="AV6:AV105" type="list">
      <formula1>L_Degraus</formula1>
      <formula2>0</formula2>
    </dataValidation>
    <dataValidation allowBlank="true" errorStyle="stop" operator="between" prompt="Opcional para S, P, A e IA. Obrigatório para E (0% a 100%)." promptTitle="Método MAPA" showDropDown="false" showErrorMessage="true" showInputMessage="true" sqref="AX6:AX105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7"/>
    <col collapsed="false" customWidth="true" hidden="false" outlineLevel="0" max="7" min="7" style="0" width="8"/>
    <col collapsed="false" customWidth="true" hidden="false" outlineLevel="0" max="8" min="8" style="0" width="16"/>
    <col collapsed="false" customWidth="true" hidden="false" outlineLevel="0" max="11" min="9" style="0" width="6"/>
    <col collapsed="false" customWidth="true" hidden="false" outlineLevel="0" max="12" min="12" style="0" width="8"/>
    <col collapsed="false" customWidth="true" hidden="false" outlineLevel="0" max="13" min="13" style="0" width="7"/>
    <col collapsed="false" customWidth="true" hidden="false" outlineLevel="0" max="14" min="14" style="0" width="12"/>
    <col collapsed="false" customWidth="true" hidden="false" outlineLevel="0" max="16" min="16" style="0" width="22"/>
    <col collapsed="false" customWidth="true" hidden="false" outlineLevel="0" max="17" min="17" style="0" width="10"/>
  </cols>
  <sheetData>
    <row r="1" customFormat="false" ht="19.7" hidden="false" customHeight="false" outlineLevel="0" collapsed="false">
      <c r="A1" s="12" t="s">
        <v>310</v>
      </c>
    </row>
    <row r="2" customFormat="false" ht="15" hidden="false" customHeight="false" outlineLevel="0" collapsed="false">
      <c r="A2" s="2" t="s">
        <v>311</v>
      </c>
    </row>
    <row r="4" customFormat="false" ht="15" hidden="false" customHeight="false" outlineLevel="0" collapsed="false">
      <c r="W4" s="32" t="s">
        <v>312</v>
      </c>
    </row>
    <row r="5" customFormat="false" ht="42" hidden="false" customHeight="true" outlineLevel="0" collapsed="false">
      <c r="A5" s="14" t="s">
        <v>313</v>
      </c>
      <c r="B5" s="14" t="s">
        <v>58</v>
      </c>
      <c r="C5" s="14" t="s">
        <v>67</v>
      </c>
      <c r="D5" s="14" t="s">
        <v>68</v>
      </c>
      <c r="E5" s="14" t="s">
        <v>293</v>
      </c>
      <c r="F5" s="14" t="s">
        <v>289</v>
      </c>
      <c r="G5" s="14" t="s">
        <v>292</v>
      </c>
      <c r="H5" s="14" t="s">
        <v>298</v>
      </c>
      <c r="I5" s="14" t="s">
        <v>314</v>
      </c>
      <c r="J5" s="14" t="s">
        <v>296</v>
      </c>
      <c r="K5" s="14" t="s">
        <v>297</v>
      </c>
      <c r="L5" s="14" t="s">
        <v>315</v>
      </c>
      <c r="M5" s="14" t="s">
        <v>316</v>
      </c>
      <c r="N5" s="14" t="s">
        <v>307</v>
      </c>
      <c r="P5" s="33" t="s">
        <v>317</v>
      </c>
      <c r="Q5" s="33" t="s">
        <v>318</v>
      </c>
      <c r="W5" s="32" t="s">
        <v>58</v>
      </c>
      <c r="X5" s="32" t="s">
        <v>319</v>
      </c>
      <c r="Y5" s="32" t="s">
        <v>289</v>
      </c>
      <c r="Z5" s="32" t="s">
        <v>320</v>
      </c>
      <c r="AA5" s="32" t="s">
        <v>314</v>
      </c>
      <c r="AB5" s="32" t="s">
        <v>321</v>
      </c>
      <c r="AC5" s="32" t="s">
        <v>322</v>
      </c>
      <c r="AD5" s="32" t="s">
        <v>323</v>
      </c>
      <c r="AE5" s="32" t="s">
        <v>324</v>
      </c>
      <c r="AF5" s="32" t="s">
        <v>325</v>
      </c>
      <c r="AH5" s="34" t="s">
        <v>326</v>
      </c>
      <c r="AI5" s="34" t="s">
        <v>327</v>
      </c>
      <c r="AJ5" s="34" t="s">
        <v>328</v>
      </c>
      <c r="AK5" s="34" t="s">
        <v>329</v>
      </c>
    </row>
    <row r="6" customFormat="false" ht="15" hidden="false" customHeight="false" outlineLevel="0" collapsed="false">
      <c r="A6" s="15" t="str">
        <f aca="false">IF(COUNT('AVALIAÇÃO MAPA'!$AU$6:$AU$105)&gt;=1,1,"")</f>
        <v/>
      </c>
      <c r="B6" s="15" t="str">
        <f aca="false">IF($A6="","",INDEX('AVALIAÇÃO MAPA'!$A$6:$A$105,MATCH($A6,'AVALIAÇÃO MAPA'!$AU$6:$AU$105,0)))</f>
        <v/>
      </c>
      <c r="C6" s="18" t="str">
        <f aca="false">IF($A6="","",INDEX('AVALIAÇÃO MAPA'!$B$6:$B$105,MATCH($A6,'AVALIAÇÃO MAPA'!$AU$6:$AU$105,0)))</f>
        <v/>
      </c>
      <c r="D6" s="15" t="str">
        <f aca="false">IF($A6="","",INDEX('AVALIAÇÃO MAPA'!$C$6:$C$105,MATCH($A6,'AVALIAÇÃO MAPA'!$AU$6:$AU$105,0)))</f>
        <v/>
      </c>
      <c r="E6" s="35" t="str">
        <f aca="false">IF($A6="","",INDEX('AVALIAÇÃO MAPA'!$AN$6:$AN$105,MATCH($A6,'AVALIAÇÃO MAPA'!$AU$6:$AU$105,0)))</f>
        <v/>
      </c>
      <c r="F6" s="29" t="str">
        <f aca="false">IF($A6="","",INDEX('AVALIAÇÃO MAPA'!$AJ$6:$AJ$105,MATCH($A6,'AVALIAÇÃO MAPA'!$AU$6:$AU$105,0)))</f>
        <v/>
      </c>
      <c r="G6" s="29" t="str">
        <f aca="false">IF($A6="","",INDEX('AVALIAÇÃO MAPA'!$AM$6:$AM$105,MATCH($A6,'AVALIAÇÃO MAPA'!$AU$6:$AU$105,0)))</f>
        <v/>
      </c>
      <c r="H6" s="15" t="str">
        <f aca="false">IF($A6="","",INDEX('AVALIAÇÃO MAPA'!$AS$6:$AS$105,MATCH($A6,'AVALIAÇÃO MAPA'!$AU$6:$AU$105,0)))</f>
        <v/>
      </c>
      <c r="I6" s="15" t="str">
        <f aca="false">IF($A6="","",INDEX('AVALIAÇÃO MAPA'!$AP$6:$AP$105,MATCH($A6,'AVALIAÇÃO MAPA'!$AU$6:$AU$105,0)))</f>
        <v/>
      </c>
      <c r="J6" s="15" t="str">
        <f aca="false">IF($A6="","",INDEX('AVALIAÇÃO MAPA'!$AQ$6:$AQ$105,MATCH($A6,'AVALIAÇÃO MAPA'!$AU$6:$AU$105,0)))</f>
        <v/>
      </c>
      <c r="K6" s="15" t="str">
        <f aca="false">IF($A6="","",INDEX('AVALIAÇÃO MAPA'!$AR$6:$AR$105,MATCH($A6,'AVALIAÇÃO MAPA'!$AU$6:$AU$105,0)))</f>
        <v/>
      </c>
      <c r="L6" s="15" t="str">
        <f aca="false">IF($A6="","",INDEX('AVALIAÇÃO MAPA'!$AT$6:$AT$105,MATCH($A6,'AVALIAÇÃO MAPA'!$AU$6:$AU$105,0)))</f>
        <v/>
      </c>
      <c r="M6" s="15" t="str">
        <f aca="false">IF($A6="","",INDEX('AVALIAÇÃO MAPA'!$AW$6:$AW$105,MATCH($A6,'AVALIAÇÃO MAPA'!$AU$6:$AU$105,0)))</f>
        <v/>
      </c>
      <c r="N6" s="27" t="str">
        <f aca="false">IF($A6="","",INDEX('AVALIAÇÃO MAPA'!$BB$6:$BB$105,MATCH($A6,'AVALIAÇÃO MAPA'!$AU$6:$AU$105,0)))</f>
        <v/>
      </c>
      <c r="P6" s="6" t="s">
        <v>40</v>
      </c>
      <c r="Q6" s="4" t="n">
        <f aca="false">COUNTIFS('AVALIAÇÃO MAPA'!$AS$6:$AS$105,P6,'AVALIAÇÃO MAPA'!$D$6:$D$105,1)</f>
        <v>0</v>
      </c>
      <c r="W6" s="32" t="n">
        <v>1</v>
      </c>
      <c r="X6" s="32" t="n">
        <f aca="false">IF(AND('AVALIAÇÃO MAPA'!AN6&lt;&gt;"",'AVALIAÇÃO MAPA'!D6=1),'AVALIAÇÃO MAPA'!AM6,-1)</f>
        <v>-1</v>
      </c>
      <c r="Y6" s="32" t="n">
        <f aca="false">IF(AND('AVALIAÇÃO MAPA'!AN6&lt;&gt;"",'AVALIAÇÃO MAPA'!D6=1),'AVALIAÇÃO MAPA'!AJ6,-1)</f>
        <v>-1</v>
      </c>
      <c r="Z6" s="32" t="str">
        <f aca="false">'AVALIAÇÃO MAPA'!AS6</f>
        <v/>
      </c>
      <c r="AA6" s="32" t="str">
        <f aca="false">'AVALIAÇÃO MAPA'!AP6</f>
        <v/>
      </c>
      <c r="AB6" s="32" t="n">
        <f aca="false">IF(Z6="Fazer primeiro",Y6,-1)</f>
        <v>-1</v>
      </c>
      <c r="AC6" s="32" t="n">
        <f aca="false">IF(Z6="Projeto estratégico",Y6,-1)</f>
        <v>-1</v>
      </c>
      <c r="AD6" s="32" t="n">
        <f aca="false">IF(Z6="Quick win",Y6,-1)</f>
        <v>-1</v>
      </c>
      <c r="AE6" s="32" t="n">
        <f aca="false">IF(Z6="Evitar",Y6,-1)</f>
        <v>-1</v>
      </c>
      <c r="AF6" s="32" t="n">
        <f aca="false">IF(AA6="SIM",Y6,-1)</f>
        <v>-1</v>
      </c>
      <c r="AH6" s="36" t="n">
        <f aca="false">Corte</f>
        <v>0.5</v>
      </c>
      <c r="AI6" s="0" t="n">
        <v>0</v>
      </c>
      <c r="AJ6" s="0" t="n">
        <v>0</v>
      </c>
      <c r="AK6" s="36" t="n">
        <f aca="false">Corte</f>
        <v>0.5</v>
      </c>
    </row>
    <row r="7" customFormat="false" ht="15" hidden="false" customHeight="false" outlineLevel="0" collapsed="false">
      <c r="A7" s="15" t="str">
        <f aca="false">IF(COUNT('AVALIAÇÃO MAPA'!$AU$6:$AU$105)&gt;=2,2,"")</f>
        <v/>
      </c>
      <c r="B7" s="15" t="str">
        <f aca="false">IF($A7="","",INDEX('AVALIAÇÃO MAPA'!$A$6:$A$105,MATCH($A7,'AVALIAÇÃO MAPA'!$AU$6:$AU$105,0)))</f>
        <v/>
      </c>
      <c r="C7" s="18" t="str">
        <f aca="false">IF($A7="","",INDEX('AVALIAÇÃO MAPA'!$B$6:$B$105,MATCH($A7,'AVALIAÇÃO MAPA'!$AU$6:$AU$105,0)))</f>
        <v/>
      </c>
      <c r="D7" s="15" t="str">
        <f aca="false">IF($A7="","",INDEX('AVALIAÇÃO MAPA'!$C$6:$C$105,MATCH($A7,'AVALIAÇÃO MAPA'!$AU$6:$AU$105,0)))</f>
        <v/>
      </c>
      <c r="E7" s="35" t="str">
        <f aca="false">IF($A7="","",INDEX('AVALIAÇÃO MAPA'!$AN$6:$AN$105,MATCH($A7,'AVALIAÇÃO MAPA'!$AU$6:$AU$105,0)))</f>
        <v/>
      </c>
      <c r="F7" s="29" t="str">
        <f aca="false">IF($A7="","",INDEX('AVALIAÇÃO MAPA'!$AJ$6:$AJ$105,MATCH($A7,'AVALIAÇÃO MAPA'!$AU$6:$AU$105,0)))</f>
        <v/>
      </c>
      <c r="G7" s="29" t="str">
        <f aca="false">IF($A7="","",INDEX('AVALIAÇÃO MAPA'!$AM$6:$AM$105,MATCH($A7,'AVALIAÇÃO MAPA'!$AU$6:$AU$105,0)))</f>
        <v/>
      </c>
      <c r="H7" s="15" t="str">
        <f aca="false">IF($A7="","",INDEX('AVALIAÇÃO MAPA'!$AS$6:$AS$105,MATCH($A7,'AVALIAÇÃO MAPA'!$AU$6:$AU$105,0)))</f>
        <v/>
      </c>
      <c r="I7" s="15" t="str">
        <f aca="false">IF($A7="","",INDEX('AVALIAÇÃO MAPA'!$AP$6:$AP$105,MATCH($A7,'AVALIAÇÃO MAPA'!$AU$6:$AU$105,0)))</f>
        <v/>
      </c>
      <c r="J7" s="15" t="str">
        <f aca="false">IF($A7="","",INDEX('AVALIAÇÃO MAPA'!$AQ$6:$AQ$105,MATCH($A7,'AVALIAÇÃO MAPA'!$AU$6:$AU$105,0)))</f>
        <v/>
      </c>
      <c r="K7" s="15" t="str">
        <f aca="false">IF($A7="","",INDEX('AVALIAÇÃO MAPA'!$AR$6:$AR$105,MATCH($A7,'AVALIAÇÃO MAPA'!$AU$6:$AU$105,0)))</f>
        <v/>
      </c>
      <c r="L7" s="15" t="str">
        <f aca="false">IF($A7="","",INDEX('AVALIAÇÃO MAPA'!$AT$6:$AT$105,MATCH($A7,'AVALIAÇÃO MAPA'!$AU$6:$AU$105,0)))</f>
        <v/>
      </c>
      <c r="M7" s="15" t="str">
        <f aca="false">IF($A7="","",INDEX('AVALIAÇÃO MAPA'!$AW$6:$AW$105,MATCH($A7,'AVALIAÇÃO MAPA'!$AU$6:$AU$105,0)))</f>
        <v/>
      </c>
      <c r="N7" s="27" t="str">
        <f aca="false">IF($A7="","",INDEX('AVALIAÇÃO MAPA'!$BB$6:$BB$105,MATCH($A7,'AVALIAÇÃO MAPA'!$AU$6:$AU$105,0)))</f>
        <v/>
      </c>
      <c r="P7" s="6" t="s">
        <v>330</v>
      </c>
      <c r="Q7" s="4" t="n">
        <f aca="false">COUNTIFS('AVALIAÇÃO MAPA'!$AS$6:$AS$105,P7,'AVALIAÇÃO MAPA'!$D$6:$D$105,1)</f>
        <v>0</v>
      </c>
      <c r="W7" s="32" t="n">
        <v>2</v>
      </c>
      <c r="X7" s="32" t="n">
        <f aca="false">IF(AND('AVALIAÇÃO MAPA'!AN7&lt;&gt;"",'AVALIAÇÃO MAPA'!D7=1),'AVALIAÇÃO MAPA'!AM7,-1)</f>
        <v>-1</v>
      </c>
      <c r="Y7" s="32" t="n">
        <f aca="false">IF(AND('AVALIAÇÃO MAPA'!AN7&lt;&gt;"",'AVALIAÇÃO MAPA'!D7=1),'AVALIAÇÃO MAPA'!AJ7,-1)</f>
        <v>-1</v>
      </c>
      <c r="Z7" s="32" t="str">
        <f aca="false">'AVALIAÇÃO MAPA'!AS7</f>
        <v/>
      </c>
      <c r="AA7" s="32" t="str">
        <f aca="false">'AVALIAÇÃO MAPA'!AP7</f>
        <v/>
      </c>
      <c r="AB7" s="32" t="n">
        <f aca="false">IF(Z7="Fazer primeiro",Y7,-1)</f>
        <v>-1</v>
      </c>
      <c r="AC7" s="32" t="n">
        <f aca="false">IF(Z7="Projeto estratégico",Y7,-1)</f>
        <v>-1</v>
      </c>
      <c r="AD7" s="32" t="n">
        <f aca="false">IF(Z7="Quick win",Y7,-1)</f>
        <v>-1</v>
      </c>
      <c r="AE7" s="32" t="n">
        <f aca="false">IF(Z7="Evitar",Y7,-1)</f>
        <v>-1</v>
      </c>
      <c r="AF7" s="32" t="n">
        <f aca="false">IF(AA7="SIM",Y7,-1)</f>
        <v>-1</v>
      </c>
      <c r="AH7" s="36" t="n">
        <f aca="false">Corte</f>
        <v>0.5</v>
      </c>
      <c r="AI7" s="0" t="n">
        <v>1</v>
      </c>
      <c r="AJ7" s="0" t="n">
        <v>1</v>
      </c>
      <c r="AK7" s="36" t="n">
        <f aca="false">Corte</f>
        <v>0.5</v>
      </c>
    </row>
    <row r="8" customFormat="false" ht="15" hidden="false" customHeight="false" outlineLevel="0" collapsed="false">
      <c r="A8" s="15" t="str">
        <f aca="false">IF(COUNT('AVALIAÇÃO MAPA'!$AU$6:$AU$105)&gt;=3,3,"")</f>
        <v/>
      </c>
      <c r="B8" s="15" t="str">
        <f aca="false">IF($A8="","",INDEX('AVALIAÇÃO MAPA'!$A$6:$A$105,MATCH($A8,'AVALIAÇÃO MAPA'!$AU$6:$AU$105,0)))</f>
        <v/>
      </c>
      <c r="C8" s="18" t="str">
        <f aca="false">IF($A8="","",INDEX('AVALIAÇÃO MAPA'!$B$6:$B$105,MATCH($A8,'AVALIAÇÃO MAPA'!$AU$6:$AU$105,0)))</f>
        <v/>
      </c>
      <c r="D8" s="15" t="str">
        <f aca="false">IF($A8="","",INDEX('AVALIAÇÃO MAPA'!$C$6:$C$105,MATCH($A8,'AVALIAÇÃO MAPA'!$AU$6:$AU$105,0)))</f>
        <v/>
      </c>
      <c r="E8" s="35" t="str">
        <f aca="false">IF($A8="","",INDEX('AVALIAÇÃO MAPA'!$AN$6:$AN$105,MATCH($A8,'AVALIAÇÃO MAPA'!$AU$6:$AU$105,0)))</f>
        <v/>
      </c>
      <c r="F8" s="29" t="str">
        <f aca="false">IF($A8="","",INDEX('AVALIAÇÃO MAPA'!$AJ$6:$AJ$105,MATCH($A8,'AVALIAÇÃO MAPA'!$AU$6:$AU$105,0)))</f>
        <v/>
      </c>
      <c r="G8" s="29" t="str">
        <f aca="false">IF($A8="","",INDEX('AVALIAÇÃO MAPA'!$AM$6:$AM$105,MATCH($A8,'AVALIAÇÃO MAPA'!$AU$6:$AU$105,0)))</f>
        <v/>
      </c>
      <c r="H8" s="15" t="str">
        <f aca="false">IF($A8="","",INDEX('AVALIAÇÃO MAPA'!$AS$6:$AS$105,MATCH($A8,'AVALIAÇÃO MAPA'!$AU$6:$AU$105,0)))</f>
        <v/>
      </c>
      <c r="I8" s="15" t="str">
        <f aca="false">IF($A8="","",INDEX('AVALIAÇÃO MAPA'!$AP$6:$AP$105,MATCH($A8,'AVALIAÇÃO MAPA'!$AU$6:$AU$105,0)))</f>
        <v/>
      </c>
      <c r="J8" s="15" t="str">
        <f aca="false">IF($A8="","",INDEX('AVALIAÇÃO MAPA'!$AQ$6:$AQ$105,MATCH($A8,'AVALIAÇÃO MAPA'!$AU$6:$AU$105,0)))</f>
        <v/>
      </c>
      <c r="K8" s="15" t="str">
        <f aca="false">IF($A8="","",INDEX('AVALIAÇÃO MAPA'!$AR$6:$AR$105,MATCH($A8,'AVALIAÇÃO MAPA'!$AU$6:$AU$105,0)))</f>
        <v/>
      </c>
      <c r="L8" s="15" t="str">
        <f aca="false">IF($A8="","",INDEX('AVALIAÇÃO MAPA'!$AT$6:$AT$105,MATCH($A8,'AVALIAÇÃO MAPA'!$AU$6:$AU$105,0)))</f>
        <v/>
      </c>
      <c r="M8" s="15" t="str">
        <f aca="false">IF($A8="","",INDEX('AVALIAÇÃO MAPA'!$AW$6:$AW$105,MATCH($A8,'AVALIAÇÃO MAPA'!$AU$6:$AU$105,0)))</f>
        <v/>
      </c>
      <c r="N8" s="27" t="str">
        <f aca="false">IF($A8="","",INDEX('AVALIAÇÃO MAPA'!$BB$6:$BB$105,MATCH($A8,'AVALIAÇÃO MAPA'!$AU$6:$AU$105,0)))</f>
        <v/>
      </c>
      <c r="P8" s="6" t="s">
        <v>331</v>
      </c>
      <c r="Q8" s="4" t="n">
        <f aca="false">COUNTIFS('AVALIAÇÃO MAPA'!$AS$6:$AS$105,P8,'AVALIAÇÃO MAPA'!$D$6:$D$105,1)</f>
        <v>0</v>
      </c>
      <c r="W8" s="32" t="n">
        <v>3</v>
      </c>
      <c r="X8" s="32" t="n">
        <f aca="false">IF(AND('AVALIAÇÃO MAPA'!AN8&lt;&gt;"",'AVALIAÇÃO MAPA'!D8=1),'AVALIAÇÃO MAPA'!AM8,-1)</f>
        <v>-1</v>
      </c>
      <c r="Y8" s="32" t="n">
        <f aca="false">IF(AND('AVALIAÇÃO MAPA'!AN8&lt;&gt;"",'AVALIAÇÃO MAPA'!D8=1),'AVALIAÇÃO MAPA'!AJ8,-1)</f>
        <v>-1</v>
      </c>
      <c r="Z8" s="32" t="str">
        <f aca="false">'AVALIAÇÃO MAPA'!AS8</f>
        <v/>
      </c>
      <c r="AA8" s="32" t="str">
        <f aca="false">'AVALIAÇÃO MAPA'!AP8</f>
        <v/>
      </c>
      <c r="AB8" s="32" t="n">
        <f aca="false">IF(Z8="Fazer primeiro",Y8,-1)</f>
        <v>-1</v>
      </c>
      <c r="AC8" s="32" t="n">
        <f aca="false">IF(Z8="Projeto estratégico",Y8,-1)</f>
        <v>-1</v>
      </c>
      <c r="AD8" s="32" t="n">
        <f aca="false">IF(Z8="Quick win",Y8,-1)</f>
        <v>-1</v>
      </c>
      <c r="AE8" s="32" t="n">
        <f aca="false">IF(Z8="Evitar",Y8,-1)</f>
        <v>-1</v>
      </c>
      <c r="AF8" s="32" t="n">
        <f aca="false">IF(AA8="SIM",Y8,-1)</f>
        <v>-1</v>
      </c>
    </row>
    <row r="9" customFormat="false" ht="15" hidden="false" customHeight="false" outlineLevel="0" collapsed="false">
      <c r="A9" s="15" t="str">
        <f aca="false">IF(COUNT('AVALIAÇÃO MAPA'!$AU$6:$AU$105)&gt;=4,4,"")</f>
        <v/>
      </c>
      <c r="B9" s="15" t="str">
        <f aca="false">IF($A9="","",INDEX('AVALIAÇÃO MAPA'!$A$6:$A$105,MATCH($A9,'AVALIAÇÃO MAPA'!$AU$6:$AU$105,0)))</f>
        <v/>
      </c>
      <c r="C9" s="18" t="str">
        <f aca="false">IF($A9="","",INDEX('AVALIAÇÃO MAPA'!$B$6:$B$105,MATCH($A9,'AVALIAÇÃO MAPA'!$AU$6:$AU$105,0)))</f>
        <v/>
      </c>
      <c r="D9" s="15" t="str">
        <f aca="false">IF($A9="","",INDEX('AVALIAÇÃO MAPA'!$C$6:$C$105,MATCH($A9,'AVALIAÇÃO MAPA'!$AU$6:$AU$105,0)))</f>
        <v/>
      </c>
      <c r="E9" s="35" t="str">
        <f aca="false">IF($A9="","",INDEX('AVALIAÇÃO MAPA'!$AN$6:$AN$105,MATCH($A9,'AVALIAÇÃO MAPA'!$AU$6:$AU$105,0)))</f>
        <v/>
      </c>
      <c r="F9" s="29" t="str">
        <f aca="false">IF($A9="","",INDEX('AVALIAÇÃO MAPA'!$AJ$6:$AJ$105,MATCH($A9,'AVALIAÇÃO MAPA'!$AU$6:$AU$105,0)))</f>
        <v/>
      </c>
      <c r="G9" s="29" t="str">
        <f aca="false">IF($A9="","",INDEX('AVALIAÇÃO MAPA'!$AM$6:$AM$105,MATCH($A9,'AVALIAÇÃO MAPA'!$AU$6:$AU$105,0)))</f>
        <v/>
      </c>
      <c r="H9" s="15" t="str">
        <f aca="false">IF($A9="","",INDEX('AVALIAÇÃO MAPA'!$AS$6:$AS$105,MATCH($A9,'AVALIAÇÃO MAPA'!$AU$6:$AU$105,0)))</f>
        <v/>
      </c>
      <c r="I9" s="15" t="str">
        <f aca="false">IF($A9="","",INDEX('AVALIAÇÃO MAPA'!$AP$6:$AP$105,MATCH($A9,'AVALIAÇÃO MAPA'!$AU$6:$AU$105,0)))</f>
        <v/>
      </c>
      <c r="J9" s="15" t="str">
        <f aca="false">IF($A9="","",INDEX('AVALIAÇÃO MAPA'!$AQ$6:$AQ$105,MATCH($A9,'AVALIAÇÃO MAPA'!$AU$6:$AU$105,0)))</f>
        <v/>
      </c>
      <c r="K9" s="15" t="str">
        <f aca="false">IF($A9="","",INDEX('AVALIAÇÃO MAPA'!$AR$6:$AR$105,MATCH($A9,'AVALIAÇÃO MAPA'!$AU$6:$AU$105,0)))</f>
        <v/>
      </c>
      <c r="L9" s="15" t="str">
        <f aca="false">IF($A9="","",INDEX('AVALIAÇÃO MAPA'!$AT$6:$AT$105,MATCH($A9,'AVALIAÇÃO MAPA'!$AU$6:$AU$105,0)))</f>
        <v/>
      </c>
      <c r="M9" s="15" t="str">
        <f aca="false">IF($A9="","",INDEX('AVALIAÇÃO MAPA'!$AW$6:$AW$105,MATCH($A9,'AVALIAÇÃO MAPA'!$AU$6:$AU$105,0)))</f>
        <v/>
      </c>
      <c r="N9" s="27" t="str">
        <f aca="false">IF($A9="","",INDEX('AVALIAÇÃO MAPA'!$BB$6:$BB$105,MATCH($A9,'AVALIAÇÃO MAPA'!$AU$6:$AU$105,0)))</f>
        <v/>
      </c>
      <c r="P9" s="6" t="s">
        <v>44</v>
      </c>
      <c r="Q9" s="4" t="n">
        <f aca="false">COUNTIFS('AVALIAÇÃO MAPA'!$AS$6:$AS$105,P9,'AVALIAÇÃO MAPA'!$D$6:$D$105,1)</f>
        <v>0</v>
      </c>
      <c r="W9" s="32" t="n">
        <v>4</v>
      </c>
      <c r="X9" s="32" t="n">
        <f aca="false">IF(AND('AVALIAÇÃO MAPA'!AN9&lt;&gt;"",'AVALIAÇÃO MAPA'!D9=1),'AVALIAÇÃO MAPA'!AM9,-1)</f>
        <v>-1</v>
      </c>
      <c r="Y9" s="32" t="n">
        <f aca="false">IF(AND('AVALIAÇÃO MAPA'!AN9&lt;&gt;"",'AVALIAÇÃO MAPA'!D9=1),'AVALIAÇÃO MAPA'!AJ9,-1)</f>
        <v>-1</v>
      </c>
      <c r="Z9" s="32" t="str">
        <f aca="false">'AVALIAÇÃO MAPA'!AS9</f>
        <v/>
      </c>
      <c r="AA9" s="32" t="str">
        <f aca="false">'AVALIAÇÃO MAPA'!AP9</f>
        <v/>
      </c>
      <c r="AB9" s="32" t="n">
        <f aca="false">IF(Z9="Fazer primeiro",Y9,-1)</f>
        <v>-1</v>
      </c>
      <c r="AC9" s="32" t="n">
        <f aca="false">IF(Z9="Projeto estratégico",Y9,-1)</f>
        <v>-1</v>
      </c>
      <c r="AD9" s="32" t="n">
        <f aca="false">IF(Z9="Quick win",Y9,-1)</f>
        <v>-1</v>
      </c>
      <c r="AE9" s="32" t="n">
        <f aca="false">IF(Z9="Evitar",Y9,-1)</f>
        <v>-1</v>
      </c>
      <c r="AF9" s="32" t="n">
        <f aca="false">IF(AA9="SIM",Y9,-1)</f>
        <v>-1</v>
      </c>
    </row>
    <row r="10" customFormat="false" ht="15" hidden="false" customHeight="false" outlineLevel="0" collapsed="false">
      <c r="A10" s="15" t="str">
        <f aca="false">IF(COUNT('AVALIAÇÃO MAPA'!$AU$6:$AU$105)&gt;=5,5,"")</f>
        <v/>
      </c>
      <c r="B10" s="15" t="str">
        <f aca="false">IF($A10="","",INDEX('AVALIAÇÃO MAPA'!$A$6:$A$105,MATCH($A10,'AVALIAÇÃO MAPA'!$AU$6:$AU$105,0)))</f>
        <v/>
      </c>
      <c r="C10" s="18" t="str">
        <f aca="false">IF($A10="","",INDEX('AVALIAÇÃO MAPA'!$B$6:$B$105,MATCH($A10,'AVALIAÇÃO MAPA'!$AU$6:$AU$105,0)))</f>
        <v/>
      </c>
      <c r="D10" s="15" t="str">
        <f aca="false">IF($A10="","",INDEX('AVALIAÇÃO MAPA'!$C$6:$C$105,MATCH($A10,'AVALIAÇÃO MAPA'!$AU$6:$AU$105,0)))</f>
        <v/>
      </c>
      <c r="E10" s="35" t="str">
        <f aca="false">IF($A10="","",INDEX('AVALIAÇÃO MAPA'!$AN$6:$AN$105,MATCH($A10,'AVALIAÇÃO MAPA'!$AU$6:$AU$105,0)))</f>
        <v/>
      </c>
      <c r="F10" s="29" t="str">
        <f aca="false">IF($A10="","",INDEX('AVALIAÇÃO MAPA'!$AJ$6:$AJ$105,MATCH($A10,'AVALIAÇÃO MAPA'!$AU$6:$AU$105,0)))</f>
        <v/>
      </c>
      <c r="G10" s="29" t="str">
        <f aca="false">IF($A10="","",INDEX('AVALIAÇÃO MAPA'!$AM$6:$AM$105,MATCH($A10,'AVALIAÇÃO MAPA'!$AU$6:$AU$105,0)))</f>
        <v/>
      </c>
      <c r="H10" s="15" t="str">
        <f aca="false">IF($A10="","",INDEX('AVALIAÇÃO MAPA'!$AS$6:$AS$105,MATCH($A10,'AVALIAÇÃO MAPA'!$AU$6:$AU$105,0)))</f>
        <v/>
      </c>
      <c r="I10" s="15" t="str">
        <f aca="false">IF($A10="","",INDEX('AVALIAÇÃO MAPA'!$AP$6:$AP$105,MATCH($A10,'AVALIAÇÃO MAPA'!$AU$6:$AU$105,0)))</f>
        <v/>
      </c>
      <c r="J10" s="15" t="str">
        <f aca="false">IF($A10="","",INDEX('AVALIAÇÃO MAPA'!$AQ$6:$AQ$105,MATCH($A10,'AVALIAÇÃO MAPA'!$AU$6:$AU$105,0)))</f>
        <v/>
      </c>
      <c r="K10" s="15" t="str">
        <f aca="false">IF($A10="","",INDEX('AVALIAÇÃO MAPA'!$AR$6:$AR$105,MATCH($A10,'AVALIAÇÃO MAPA'!$AU$6:$AU$105,0)))</f>
        <v/>
      </c>
      <c r="L10" s="15" t="str">
        <f aca="false">IF($A10="","",INDEX('AVALIAÇÃO MAPA'!$AT$6:$AT$105,MATCH($A10,'AVALIAÇÃO MAPA'!$AU$6:$AU$105,0)))</f>
        <v/>
      </c>
      <c r="M10" s="15" t="str">
        <f aca="false">IF($A10="","",INDEX('AVALIAÇÃO MAPA'!$AW$6:$AW$105,MATCH($A10,'AVALIAÇÃO MAPA'!$AU$6:$AU$105,0)))</f>
        <v/>
      </c>
      <c r="N10" s="27" t="str">
        <f aca="false">IF($A10="","",INDEX('AVALIAÇÃO MAPA'!$BB$6:$BB$105,MATCH($A10,'AVALIAÇÃO MAPA'!$AU$6:$AU$105,0)))</f>
        <v/>
      </c>
      <c r="P10" s="6" t="s">
        <v>46</v>
      </c>
      <c r="Q10" s="4" t="n">
        <f aca="false">COUNTIFS('AVALIAÇÃO MAPA'!$AP$6:$AP$105,"SIM",'AVALIAÇÃO MAPA'!$D$6:$D$105,1)</f>
        <v>0</v>
      </c>
      <c r="W10" s="32" t="n">
        <v>5</v>
      </c>
      <c r="X10" s="32" t="n">
        <f aca="false">IF(AND('AVALIAÇÃO MAPA'!AN10&lt;&gt;"",'AVALIAÇÃO MAPA'!D10=1),'AVALIAÇÃO MAPA'!AM10,-1)</f>
        <v>-1</v>
      </c>
      <c r="Y10" s="32" t="n">
        <f aca="false">IF(AND('AVALIAÇÃO MAPA'!AN10&lt;&gt;"",'AVALIAÇÃO MAPA'!D10=1),'AVALIAÇÃO MAPA'!AJ10,-1)</f>
        <v>-1</v>
      </c>
      <c r="Z10" s="32" t="str">
        <f aca="false">'AVALIAÇÃO MAPA'!AS10</f>
        <v/>
      </c>
      <c r="AA10" s="32" t="str">
        <f aca="false">'AVALIAÇÃO MAPA'!AP10</f>
        <v/>
      </c>
      <c r="AB10" s="32" t="n">
        <f aca="false">IF(Z10="Fazer primeiro",Y10,-1)</f>
        <v>-1</v>
      </c>
      <c r="AC10" s="32" t="n">
        <f aca="false">IF(Z10="Projeto estratégico",Y10,-1)</f>
        <v>-1</v>
      </c>
      <c r="AD10" s="32" t="n">
        <f aca="false">IF(Z10="Quick win",Y10,-1)</f>
        <v>-1</v>
      </c>
      <c r="AE10" s="32" t="n">
        <f aca="false">IF(Z10="Evitar",Y10,-1)</f>
        <v>-1</v>
      </c>
      <c r="AF10" s="32" t="n">
        <f aca="false">IF(AA10="SIM",Y10,-1)</f>
        <v>-1</v>
      </c>
    </row>
    <row r="11" customFormat="false" ht="15" hidden="false" customHeight="false" outlineLevel="0" collapsed="false">
      <c r="A11" s="15" t="str">
        <f aca="false">IF(COUNT('AVALIAÇÃO MAPA'!$AU$6:$AU$105)&gt;=6,6,"")</f>
        <v/>
      </c>
      <c r="B11" s="15" t="str">
        <f aca="false">IF($A11="","",INDEX('AVALIAÇÃO MAPA'!$A$6:$A$105,MATCH($A11,'AVALIAÇÃO MAPA'!$AU$6:$AU$105,0)))</f>
        <v/>
      </c>
      <c r="C11" s="18" t="str">
        <f aca="false">IF($A11="","",INDEX('AVALIAÇÃO MAPA'!$B$6:$B$105,MATCH($A11,'AVALIAÇÃO MAPA'!$AU$6:$AU$105,0)))</f>
        <v/>
      </c>
      <c r="D11" s="15" t="str">
        <f aca="false">IF($A11="","",INDEX('AVALIAÇÃO MAPA'!$C$6:$C$105,MATCH($A11,'AVALIAÇÃO MAPA'!$AU$6:$AU$105,0)))</f>
        <v/>
      </c>
      <c r="E11" s="35" t="str">
        <f aca="false">IF($A11="","",INDEX('AVALIAÇÃO MAPA'!$AN$6:$AN$105,MATCH($A11,'AVALIAÇÃO MAPA'!$AU$6:$AU$105,0)))</f>
        <v/>
      </c>
      <c r="F11" s="29" t="str">
        <f aca="false">IF($A11="","",INDEX('AVALIAÇÃO MAPA'!$AJ$6:$AJ$105,MATCH($A11,'AVALIAÇÃO MAPA'!$AU$6:$AU$105,0)))</f>
        <v/>
      </c>
      <c r="G11" s="29" t="str">
        <f aca="false">IF($A11="","",INDEX('AVALIAÇÃO MAPA'!$AM$6:$AM$105,MATCH($A11,'AVALIAÇÃO MAPA'!$AU$6:$AU$105,0)))</f>
        <v/>
      </c>
      <c r="H11" s="15" t="str">
        <f aca="false">IF($A11="","",INDEX('AVALIAÇÃO MAPA'!$AS$6:$AS$105,MATCH($A11,'AVALIAÇÃO MAPA'!$AU$6:$AU$105,0)))</f>
        <v/>
      </c>
      <c r="I11" s="15" t="str">
        <f aca="false">IF($A11="","",INDEX('AVALIAÇÃO MAPA'!$AP$6:$AP$105,MATCH($A11,'AVALIAÇÃO MAPA'!$AU$6:$AU$105,0)))</f>
        <v/>
      </c>
      <c r="J11" s="15" t="str">
        <f aca="false">IF($A11="","",INDEX('AVALIAÇÃO MAPA'!$AQ$6:$AQ$105,MATCH($A11,'AVALIAÇÃO MAPA'!$AU$6:$AU$105,0)))</f>
        <v/>
      </c>
      <c r="K11" s="15" t="str">
        <f aca="false">IF($A11="","",INDEX('AVALIAÇÃO MAPA'!$AR$6:$AR$105,MATCH($A11,'AVALIAÇÃO MAPA'!$AU$6:$AU$105,0)))</f>
        <v/>
      </c>
      <c r="L11" s="15" t="str">
        <f aca="false">IF($A11="","",INDEX('AVALIAÇÃO MAPA'!$AT$6:$AT$105,MATCH($A11,'AVALIAÇÃO MAPA'!$AU$6:$AU$105,0)))</f>
        <v/>
      </c>
      <c r="M11" s="15" t="str">
        <f aca="false">IF($A11="","",INDEX('AVALIAÇÃO MAPA'!$AW$6:$AW$105,MATCH($A11,'AVALIAÇÃO MAPA'!$AU$6:$AU$105,0)))</f>
        <v/>
      </c>
      <c r="N11" s="27" t="str">
        <f aca="false">IF($A11="","",INDEX('AVALIAÇÃO MAPA'!$BB$6:$BB$105,MATCH($A11,'AVALIAÇÃO MAPA'!$AU$6:$AU$105,0)))</f>
        <v/>
      </c>
      <c r="W11" s="32" t="n">
        <v>6</v>
      </c>
      <c r="X11" s="32" t="n">
        <f aca="false">IF(AND('AVALIAÇÃO MAPA'!AN11&lt;&gt;"",'AVALIAÇÃO MAPA'!D11=1),'AVALIAÇÃO MAPA'!AM11,-1)</f>
        <v>-1</v>
      </c>
      <c r="Y11" s="32" t="n">
        <f aca="false">IF(AND('AVALIAÇÃO MAPA'!AN11&lt;&gt;"",'AVALIAÇÃO MAPA'!D11=1),'AVALIAÇÃO MAPA'!AJ11,-1)</f>
        <v>-1</v>
      </c>
      <c r="Z11" s="32" t="str">
        <f aca="false">'AVALIAÇÃO MAPA'!AS11</f>
        <v/>
      </c>
      <c r="AA11" s="32" t="str">
        <f aca="false">'AVALIAÇÃO MAPA'!AP11</f>
        <v/>
      </c>
      <c r="AB11" s="32" t="n">
        <f aca="false">IF(Z11="Fazer primeiro",Y11,-1)</f>
        <v>-1</v>
      </c>
      <c r="AC11" s="32" t="n">
        <f aca="false">IF(Z11="Projeto estratégico",Y11,-1)</f>
        <v>-1</v>
      </c>
      <c r="AD11" s="32" t="n">
        <f aca="false">IF(Z11="Quick win",Y11,-1)</f>
        <v>-1</v>
      </c>
      <c r="AE11" s="32" t="n">
        <f aca="false">IF(Z11="Evitar",Y11,-1)</f>
        <v>-1</v>
      </c>
      <c r="AF11" s="32" t="n">
        <f aca="false">IF(AA11="SIM",Y11,-1)</f>
        <v>-1</v>
      </c>
    </row>
    <row r="12" customFormat="false" ht="15" hidden="false" customHeight="false" outlineLevel="0" collapsed="false">
      <c r="A12" s="15" t="str">
        <f aca="false">IF(COUNT('AVALIAÇÃO MAPA'!$AU$6:$AU$105)&gt;=7,7,"")</f>
        <v/>
      </c>
      <c r="B12" s="15" t="str">
        <f aca="false">IF($A12="","",INDEX('AVALIAÇÃO MAPA'!$A$6:$A$105,MATCH($A12,'AVALIAÇÃO MAPA'!$AU$6:$AU$105,0)))</f>
        <v/>
      </c>
      <c r="C12" s="18" t="str">
        <f aca="false">IF($A12="","",INDEX('AVALIAÇÃO MAPA'!$B$6:$B$105,MATCH($A12,'AVALIAÇÃO MAPA'!$AU$6:$AU$105,0)))</f>
        <v/>
      </c>
      <c r="D12" s="15" t="str">
        <f aca="false">IF($A12="","",INDEX('AVALIAÇÃO MAPA'!$C$6:$C$105,MATCH($A12,'AVALIAÇÃO MAPA'!$AU$6:$AU$105,0)))</f>
        <v/>
      </c>
      <c r="E12" s="35" t="str">
        <f aca="false">IF($A12="","",INDEX('AVALIAÇÃO MAPA'!$AN$6:$AN$105,MATCH($A12,'AVALIAÇÃO MAPA'!$AU$6:$AU$105,0)))</f>
        <v/>
      </c>
      <c r="F12" s="29" t="str">
        <f aca="false">IF($A12="","",INDEX('AVALIAÇÃO MAPA'!$AJ$6:$AJ$105,MATCH($A12,'AVALIAÇÃO MAPA'!$AU$6:$AU$105,0)))</f>
        <v/>
      </c>
      <c r="G12" s="29" t="str">
        <f aca="false">IF($A12="","",INDEX('AVALIAÇÃO MAPA'!$AM$6:$AM$105,MATCH($A12,'AVALIAÇÃO MAPA'!$AU$6:$AU$105,0)))</f>
        <v/>
      </c>
      <c r="H12" s="15" t="str">
        <f aca="false">IF($A12="","",INDEX('AVALIAÇÃO MAPA'!$AS$6:$AS$105,MATCH($A12,'AVALIAÇÃO MAPA'!$AU$6:$AU$105,0)))</f>
        <v/>
      </c>
      <c r="I12" s="15" t="str">
        <f aca="false">IF($A12="","",INDEX('AVALIAÇÃO MAPA'!$AP$6:$AP$105,MATCH($A12,'AVALIAÇÃO MAPA'!$AU$6:$AU$105,0)))</f>
        <v/>
      </c>
      <c r="J12" s="15" t="str">
        <f aca="false">IF($A12="","",INDEX('AVALIAÇÃO MAPA'!$AQ$6:$AQ$105,MATCH($A12,'AVALIAÇÃO MAPA'!$AU$6:$AU$105,0)))</f>
        <v/>
      </c>
      <c r="K12" s="15" t="str">
        <f aca="false">IF($A12="","",INDEX('AVALIAÇÃO MAPA'!$AR$6:$AR$105,MATCH($A12,'AVALIAÇÃO MAPA'!$AU$6:$AU$105,0)))</f>
        <v/>
      </c>
      <c r="L12" s="15" t="str">
        <f aca="false">IF($A12="","",INDEX('AVALIAÇÃO MAPA'!$AT$6:$AT$105,MATCH($A12,'AVALIAÇÃO MAPA'!$AU$6:$AU$105,0)))</f>
        <v/>
      </c>
      <c r="M12" s="15" t="str">
        <f aca="false">IF($A12="","",INDEX('AVALIAÇÃO MAPA'!$AW$6:$AW$105,MATCH($A12,'AVALIAÇÃO MAPA'!$AU$6:$AU$105,0)))</f>
        <v/>
      </c>
      <c r="N12" s="27" t="str">
        <f aca="false">IF($A12="","",INDEX('AVALIAÇÃO MAPA'!$BB$6:$BB$105,MATCH($A12,'AVALIAÇÃO MAPA'!$AU$6:$AU$105,0)))</f>
        <v/>
      </c>
      <c r="W12" s="32" t="n">
        <v>7</v>
      </c>
      <c r="X12" s="32" t="n">
        <f aca="false">IF(AND('AVALIAÇÃO MAPA'!AN12&lt;&gt;"",'AVALIAÇÃO MAPA'!D12=1),'AVALIAÇÃO MAPA'!AM12,-1)</f>
        <v>-1</v>
      </c>
      <c r="Y12" s="32" t="n">
        <f aca="false">IF(AND('AVALIAÇÃO MAPA'!AN12&lt;&gt;"",'AVALIAÇÃO MAPA'!D12=1),'AVALIAÇÃO MAPA'!AJ12,-1)</f>
        <v>-1</v>
      </c>
      <c r="Z12" s="32" t="str">
        <f aca="false">'AVALIAÇÃO MAPA'!AS12</f>
        <v/>
      </c>
      <c r="AA12" s="32" t="str">
        <f aca="false">'AVALIAÇÃO MAPA'!AP12</f>
        <v/>
      </c>
      <c r="AB12" s="32" t="n">
        <f aca="false">IF(Z12="Fazer primeiro",Y12,-1)</f>
        <v>-1</v>
      </c>
      <c r="AC12" s="32" t="n">
        <f aca="false">IF(Z12="Projeto estratégico",Y12,-1)</f>
        <v>-1</v>
      </c>
      <c r="AD12" s="32" t="n">
        <f aca="false">IF(Z12="Quick win",Y12,-1)</f>
        <v>-1</v>
      </c>
      <c r="AE12" s="32" t="n">
        <f aca="false">IF(Z12="Evitar",Y12,-1)</f>
        <v>-1</v>
      </c>
      <c r="AF12" s="32" t="n">
        <f aca="false">IF(AA12="SIM",Y12,-1)</f>
        <v>-1</v>
      </c>
    </row>
    <row r="13" customFormat="false" ht="15" hidden="false" customHeight="false" outlineLevel="0" collapsed="false">
      <c r="A13" s="15" t="str">
        <f aca="false">IF(COUNT('AVALIAÇÃO MAPA'!$AU$6:$AU$105)&gt;=8,8,"")</f>
        <v/>
      </c>
      <c r="B13" s="15" t="str">
        <f aca="false">IF($A13="","",INDEX('AVALIAÇÃO MAPA'!$A$6:$A$105,MATCH($A13,'AVALIAÇÃO MAPA'!$AU$6:$AU$105,0)))</f>
        <v/>
      </c>
      <c r="C13" s="18" t="str">
        <f aca="false">IF($A13="","",INDEX('AVALIAÇÃO MAPA'!$B$6:$B$105,MATCH($A13,'AVALIAÇÃO MAPA'!$AU$6:$AU$105,0)))</f>
        <v/>
      </c>
      <c r="D13" s="15" t="str">
        <f aca="false">IF($A13="","",INDEX('AVALIAÇÃO MAPA'!$C$6:$C$105,MATCH($A13,'AVALIAÇÃO MAPA'!$AU$6:$AU$105,0)))</f>
        <v/>
      </c>
      <c r="E13" s="35" t="str">
        <f aca="false">IF($A13="","",INDEX('AVALIAÇÃO MAPA'!$AN$6:$AN$105,MATCH($A13,'AVALIAÇÃO MAPA'!$AU$6:$AU$105,0)))</f>
        <v/>
      </c>
      <c r="F13" s="29" t="str">
        <f aca="false">IF($A13="","",INDEX('AVALIAÇÃO MAPA'!$AJ$6:$AJ$105,MATCH($A13,'AVALIAÇÃO MAPA'!$AU$6:$AU$105,0)))</f>
        <v/>
      </c>
      <c r="G13" s="29" t="str">
        <f aca="false">IF($A13="","",INDEX('AVALIAÇÃO MAPA'!$AM$6:$AM$105,MATCH($A13,'AVALIAÇÃO MAPA'!$AU$6:$AU$105,0)))</f>
        <v/>
      </c>
      <c r="H13" s="15" t="str">
        <f aca="false">IF($A13="","",INDEX('AVALIAÇÃO MAPA'!$AS$6:$AS$105,MATCH($A13,'AVALIAÇÃO MAPA'!$AU$6:$AU$105,0)))</f>
        <v/>
      </c>
      <c r="I13" s="15" t="str">
        <f aca="false">IF($A13="","",INDEX('AVALIAÇÃO MAPA'!$AP$6:$AP$105,MATCH($A13,'AVALIAÇÃO MAPA'!$AU$6:$AU$105,0)))</f>
        <v/>
      </c>
      <c r="J13" s="15" t="str">
        <f aca="false">IF($A13="","",INDEX('AVALIAÇÃO MAPA'!$AQ$6:$AQ$105,MATCH($A13,'AVALIAÇÃO MAPA'!$AU$6:$AU$105,0)))</f>
        <v/>
      </c>
      <c r="K13" s="15" t="str">
        <f aca="false">IF($A13="","",INDEX('AVALIAÇÃO MAPA'!$AR$6:$AR$105,MATCH($A13,'AVALIAÇÃO MAPA'!$AU$6:$AU$105,0)))</f>
        <v/>
      </c>
      <c r="L13" s="15" t="str">
        <f aca="false">IF($A13="","",INDEX('AVALIAÇÃO MAPA'!$AT$6:$AT$105,MATCH($A13,'AVALIAÇÃO MAPA'!$AU$6:$AU$105,0)))</f>
        <v/>
      </c>
      <c r="M13" s="15" t="str">
        <f aca="false">IF($A13="","",INDEX('AVALIAÇÃO MAPA'!$AW$6:$AW$105,MATCH($A13,'AVALIAÇÃO MAPA'!$AU$6:$AU$105,0)))</f>
        <v/>
      </c>
      <c r="N13" s="27" t="str">
        <f aca="false">IF($A13="","",INDEX('AVALIAÇÃO MAPA'!$BB$6:$BB$105,MATCH($A13,'AVALIAÇÃO MAPA'!$AU$6:$AU$105,0)))</f>
        <v/>
      </c>
      <c r="W13" s="32" t="n">
        <v>8</v>
      </c>
      <c r="X13" s="32" t="n">
        <f aca="false">IF(AND('AVALIAÇÃO MAPA'!AN13&lt;&gt;"",'AVALIAÇÃO MAPA'!D13=1),'AVALIAÇÃO MAPA'!AM13,-1)</f>
        <v>-1</v>
      </c>
      <c r="Y13" s="32" t="n">
        <f aca="false">IF(AND('AVALIAÇÃO MAPA'!AN13&lt;&gt;"",'AVALIAÇÃO MAPA'!D13=1),'AVALIAÇÃO MAPA'!AJ13,-1)</f>
        <v>-1</v>
      </c>
      <c r="Z13" s="32" t="str">
        <f aca="false">'AVALIAÇÃO MAPA'!AS13</f>
        <v/>
      </c>
      <c r="AA13" s="32" t="str">
        <f aca="false">'AVALIAÇÃO MAPA'!AP13</f>
        <v/>
      </c>
      <c r="AB13" s="32" t="n">
        <f aca="false">IF(Z13="Fazer primeiro",Y13,-1)</f>
        <v>-1</v>
      </c>
      <c r="AC13" s="32" t="n">
        <f aca="false">IF(Z13="Projeto estratégico",Y13,-1)</f>
        <v>-1</v>
      </c>
      <c r="AD13" s="32" t="n">
        <f aca="false">IF(Z13="Quick win",Y13,-1)</f>
        <v>-1</v>
      </c>
      <c r="AE13" s="32" t="n">
        <f aca="false">IF(Z13="Evitar",Y13,-1)</f>
        <v>-1</v>
      </c>
      <c r="AF13" s="32" t="n">
        <f aca="false">IF(AA13="SIM",Y13,-1)</f>
        <v>-1</v>
      </c>
    </row>
    <row r="14" customFormat="false" ht="15" hidden="false" customHeight="false" outlineLevel="0" collapsed="false">
      <c r="A14" s="15" t="str">
        <f aca="false">IF(COUNT('AVALIAÇÃO MAPA'!$AU$6:$AU$105)&gt;=9,9,"")</f>
        <v/>
      </c>
      <c r="B14" s="15" t="str">
        <f aca="false">IF($A14="","",INDEX('AVALIAÇÃO MAPA'!$A$6:$A$105,MATCH($A14,'AVALIAÇÃO MAPA'!$AU$6:$AU$105,0)))</f>
        <v/>
      </c>
      <c r="C14" s="18" t="str">
        <f aca="false">IF($A14="","",INDEX('AVALIAÇÃO MAPA'!$B$6:$B$105,MATCH($A14,'AVALIAÇÃO MAPA'!$AU$6:$AU$105,0)))</f>
        <v/>
      </c>
      <c r="D14" s="15" t="str">
        <f aca="false">IF($A14="","",INDEX('AVALIAÇÃO MAPA'!$C$6:$C$105,MATCH($A14,'AVALIAÇÃO MAPA'!$AU$6:$AU$105,0)))</f>
        <v/>
      </c>
      <c r="E14" s="35" t="str">
        <f aca="false">IF($A14="","",INDEX('AVALIAÇÃO MAPA'!$AN$6:$AN$105,MATCH($A14,'AVALIAÇÃO MAPA'!$AU$6:$AU$105,0)))</f>
        <v/>
      </c>
      <c r="F14" s="29" t="str">
        <f aca="false">IF($A14="","",INDEX('AVALIAÇÃO MAPA'!$AJ$6:$AJ$105,MATCH($A14,'AVALIAÇÃO MAPA'!$AU$6:$AU$105,0)))</f>
        <v/>
      </c>
      <c r="G14" s="29" t="str">
        <f aca="false">IF($A14="","",INDEX('AVALIAÇÃO MAPA'!$AM$6:$AM$105,MATCH($A14,'AVALIAÇÃO MAPA'!$AU$6:$AU$105,0)))</f>
        <v/>
      </c>
      <c r="H14" s="15" t="str">
        <f aca="false">IF($A14="","",INDEX('AVALIAÇÃO MAPA'!$AS$6:$AS$105,MATCH($A14,'AVALIAÇÃO MAPA'!$AU$6:$AU$105,0)))</f>
        <v/>
      </c>
      <c r="I14" s="15" t="str">
        <f aca="false">IF($A14="","",INDEX('AVALIAÇÃO MAPA'!$AP$6:$AP$105,MATCH($A14,'AVALIAÇÃO MAPA'!$AU$6:$AU$105,0)))</f>
        <v/>
      </c>
      <c r="J14" s="15" t="str">
        <f aca="false">IF($A14="","",INDEX('AVALIAÇÃO MAPA'!$AQ$6:$AQ$105,MATCH($A14,'AVALIAÇÃO MAPA'!$AU$6:$AU$105,0)))</f>
        <v/>
      </c>
      <c r="K14" s="15" t="str">
        <f aca="false">IF($A14="","",INDEX('AVALIAÇÃO MAPA'!$AR$6:$AR$105,MATCH($A14,'AVALIAÇÃO MAPA'!$AU$6:$AU$105,0)))</f>
        <v/>
      </c>
      <c r="L14" s="15" t="str">
        <f aca="false">IF($A14="","",INDEX('AVALIAÇÃO MAPA'!$AT$6:$AT$105,MATCH($A14,'AVALIAÇÃO MAPA'!$AU$6:$AU$105,0)))</f>
        <v/>
      </c>
      <c r="M14" s="15" t="str">
        <f aca="false">IF($A14="","",INDEX('AVALIAÇÃO MAPA'!$AW$6:$AW$105,MATCH($A14,'AVALIAÇÃO MAPA'!$AU$6:$AU$105,0)))</f>
        <v/>
      </c>
      <c r="N14" s="27" t="str">
        <f aca="false">IF($A14="","",INDEX('AVALIAÇÃO MAPA'!$BB$6:$BB$105,MATCH($A14,'AVALIAÇÃO MAPA'!$AU$6:$AU$105,0)))</f>
        <v/>
      </c>
      <c r="W14" s="32" t="n">
        <v>9</v>
      </c>
      <c r="X14" s="32" t="n">
        <f aca="false">IF(AND('AVALIAÇÃO MAPA'!AN14&lt;&gt;"",'AVALIAÇÃO MAPA'!D14=1),'AVALIAÇÃO MAPA'!AM14,-1)</f>
        <v>-1</v>
      </c>
      <c r="Y14" s="32" t="n">
        <f aca="false">IF(AND('AVALIAÇÃO MAPA'!AN14&lt;&gt;"",'AVALIAÇÃO MAPA'!D14=1),'AVALIAÇÃO MAPA'!AJ14,-1)</f>
        <v>-1</v>
      </c>
      <c r="Z14" s="32" t="str">
        <f aca="false">'AVALIAÇÃO MAPA'!AS14</f>
        <v/>
      </c>
      <c r="AA14" s="32" t="str">
        <f aca="false">'AVALIAÇÃO MAPA'!AP14</f>
        <v/>
      </c>
      <c r="AB14" s="32" t="n">
        <f aca="false">IF(Z14="Fazer primeiro",Y14,-1)</f>
        <v>-1</v>
      </c>
      <c r="AC14" s="32" t="n">
        <f aca="false">IF(Z14="Projeto estratégico",Y14,-1)</f>
        <v>-1</v>
      </c>
      <c r="AD14" s="32" t="n">
        <f aca="false">IF(Z14="Quick win",Y14,-1)</f>
        <v>-1</v>
      </c>
      <c r="AE14" s="32" t="n">
        <f aca="false">IF(Z14="Evitar",Y14,-1)</f>
        <v>-1</v>
      </c>
      <c r="AF14" s="32" t="n">
        <f aca="false">IF(AA14="SIM",Y14,-1)</f>
        <v>-1</v>
      </c>
    </row>
    <row r="15" customFormat="false" ht="15" hidden="false" customHeight="false" outlineLevel="0" collapsed="false">
      <c r="A15" s="15" t="str">
        <f aca="false">IF(COUNT('AVALIAÇÃO MAPA'!$AU$6:$AU$105)&gt;=10,10,"")</f>
        <v/>
      </c>
      <c r="B15" s="15" t="str">
        <f aca="false">IF($A15="","",INDEX('AVALIAÇÃO MAPA'!$A$6:$A$105,MATCH($A15,'AVALIAÇÃO MAPA'!$AU$6:$AU$105,0)))</f>
        <v/>
      </c>
      <c r="C15" s="18" t="str">
        <f aca="false">IF($A15="","",INDEX('AVALIAÇÃO MAPA'!$B$6:$B$105,MATCH($A15,'AVALIAÇÃO MAPA'!$AU$6:$AU$105,0)))</f>
        <v/>
      </c>
      <c r="D15" s="15" t="str">
        <f aca="false">IF($A15="","",INDEX('AVALIAÇÃO MAPA'!$C$6:$C$105,MATCH($A15,'AVALIAÇÃO MAPA'!$AU$6:$AU$105,0)))</f>
        <v/>
      </c>
      <c r="E15" s="35" t="str">
        <f aca="false">IF($A15="","",INDEX('AVALIAÇÃO MAPA'!$AN$6:$AN$105,MATCH($A15,'AVALIAÇÃO MAPA'!$AU$6:$AU$105,0)))</f>
        <v/>
      </c>
      <c r="F15" s="29" t="str">
        <f aca="false">IF($A15="","",INDEX('AVALIAÇÃO MAPA'!$AJ$6:$AJ$105,MATCH($A15,'AVALIAÇÃO MAPA'!$AU$6:$AU$105,0)))</f>
        <v/>
      </c>
      <c r="G15" s="29" t="str">
        <f aca="false">IF($A15="","",INDEX('AVALIAÇÃO MAPA'!$AM$6:$AM$105,MATCH($A15,'AVALIAÇÃO MAPA'!$AU$6:$AU$105,0)))</f>
        <v/>
      </c>
      <c r="H15" s="15" t="str">
        <f aca="false">IF($A15="","",INDEX('AVALIAÇÃO MAPA'!$AS$6:$AS$105,MATCH($A15,'AVALIAÇÃO MAPA'!$AU$6:$AU$105,0)))</f>
        <v/>
      </c>
      <c r="I15" s="15" t="str">
        <f aca="false">IF($A15="","",INDEX('AVALIAÇÃO MAPA'!$AP$6:$AP$105,MATCH($A15,'AVALIAÇÃO MAPA'!$AU$6:$AU$105,0)))</f>
        <v/>
      </c>
      <c r="J15" s="15" t="str">
        <f aca="false">IF($A15="","",INDEX('AVALIAÇÃO MAPA'!$AQ$6:$AQ$105,MATCH($A15,'AVALIAÇÃO MAPA'!$AU$6:$AU$105,0)))</f>
        <v/>
      </c>
      <c r="K15" s="15" t="str">
        <f aca="false">IF($A15="","",INDEX('AVALIAÇÃO MAPA'!$AR$6:$AR$105,MATCH($A15,'AVALIAÇÃO MAPA'!$AU$6:$AU$105,0)))</f>
        <v/>
      </c>
      <c r="L15" s="15" t="str">
        <f aca="false">IF($A15="","",INDEX('AVALIAÇÃO MAPA'!$AT$6:$AT$105,MATCH($A15,'AVALIAÇÃO MAPA'!$AU$6:$AU$105,0)))</f>
        <v/>
      </c>
      <c r="M15" s="15" t="str">
        <f aca="false">IF($A15="","",INDEX('AVALIAÇÃO MAPA'!$AW$6:$AW$105,MATCH($A15,'AVALIAÇÃO MAPA'!$AU$6:$AU$105,0)))</f>
        <v/>
      </c>
      <c r="N15" s="27" t="str">
        <f aca="false">IF($A15="","",INDEX('AVALIAÇÃO MAPA'!$BB$6:$BB$105,MATCH($A15,'AVALIAÇÃO MAPA'!$AU$6:$AU$105,0)))</f>
        <v/>
      </c>
      <c r="W15" s="32" t="n">
        <v>10</v>
      </c>
      <c r="X15" s="32" t="n">
        <f aca="false">IF(AND('AVALIAÇÃO MAPA'!AN15&lt;&gt;"",'AVALIAÇÃO MAPA'!D15=1),'AVALIAÇÃO MAPA'!AM15,-1)</f>
        <v>-1</v>
      </c>
      <c r="Y15" s="32" t="n">
        <f aca="false">IF(AND('AVALIAÇÃO MAPA'!AN15&lt;&gt;"",'AVALIAÇÃO MAPA'!D15=1),'AVALIAÇÃO MAPA'!AJ15,-1)</f>
        <v>-1</v>
      </c>
      <c r="Z15" s="32" t="str">
        <f aca="false">'AVALIAÇÃO MAPA'!AS15</f>
        <v/>
      </c>
      <c r="AA15" s="32" t="str">
        <f aca="false">'AVALIAÇÃO MAPA'!AP15</f>
        <v/>
      </c>
      <c r="AB15" s="32" t="n">
        <f aca="false">IF(Z15="Fazer primeiro",Y15,-1)</f>
        <v>-1</v>
      </c>
      <c r="AC15" s="32" t="n">
        <f aca="false">IF(Z15="Projeto estratégico",Y15,-1)</f>
        <v>-1</v>
      </c>
      <c r="AD15" s="32" t="n">
        <f aca="false">IF(Z15="Quick win",Y15,-1)</f>
        <v>-1</v>
      </c>
      <c r="AE15" s="32" t="n">
        <f aca="false">IF(Z15="Evitar",Y15,-1)</f>
        <v>-1</v>
      </c>
      <c r="AF15" s="32" t="n">
        <f aca="false">IF(AA15="SIM",Y15,-1)</f>
        <v>-1</v>
      </c>
    </row>
    <row r="16" customFormat="false" ht="15" hidden="false" customHeight="false" outlineLevel="0" collapsed="false">
      <c r="A16" s="15" t="str">
        <f aca="false">IF(COUNT('AVALIAÇÃO MAPA'!$AU$6:$AU$105)&gt;=11,11,"")</f>
        <v/>
      </c>
      <c r="B16" s="15" t="str">
        <f aca="false">IF($A16="","",INDEX('AVALIAÇÃO MAPA'!$A$6:$A$105,MATCH($A16,'AVALIAÇÃO MAPA'!$AU$6:$AU$105,0)))</f>
        <v/>
      </c>
      <c r="C16" s="18" t="str">
        <f aca="false">IF($A16="","",INDEX('AVALIAÇÃO MAPA'!$B$6:$B$105,MATCH($A16,'AVALIAÇÃO MAPA'!$AU$6:$AU$105,0)))</f>
        <v/>
      </c>
      <c r="D16" s="15" t="str">
        <f aca="false">IF($A16="","",INDEX('AVALIAÇÃO MAPA'!$C$6:$C$105,MATCH($A16,'AVALIAÇÃO MAPA'!$AU$6:$AU$105,0)))</f>
        <v/>
      </c>
      <c r="E16" s="35" t="str">
        <f aca="false">IF($A16="","",INDEX('AVALIAÇÃO MAPA'!$AN$6:$AN$105,MATCH($A16,'AVALIAÇÃO MAPA'!$AU$6:$AU$105,0)))</f>
        <v/>
      </c>
      <c r="F16" s="29" t="str">
        <f aca="false">IF($A16="","",INDEX('AVALIAÇÃO MAPA'!$AJ$6:$AJ$105,MATCH($A16,'AVALIAÇÃO MAPA'!$AU$6:$AU$105,0)))</f>
        <v/>
      </c>
      <c r="G16" s="29" t="str">
        <f aca="false">IF($A16="","",INDEX('AVALIAÇÃO MAPA'!$AM$6:$AM$105,MATCH($A16,'AVALIAÇÃO MAPA'!$AU$6:$AU$105,0)))</f>
        <v/>
      </c>
      <c r="H16" s="15" t="str">
        <f aca="false">IF($A16="","",INDEX('AVALIAÇÃO MAPA'!$AS$6:$AS$105,MATCH($A16,'AVALIAÇÃO MAPA'!$AU$6:$AU$105,0)))</f>
        <v/>
      </c>
      <c r="I16" s="15" t="str">
        <f aca="false">IF($A16="","",INDEX('AVALIAÇÃO MAPA'!$AP$6:$AP$105,MATCH($A16,'AVALIAÇÃO MAPA'!$AU$6:$AU$105,0)))</f>
        <v/>
      </c>
      <c r="J16" s="15" t="str">
        <f aca="false">IF($A16="","",INDEX('AVALIAÇÃO MAPA'!$AQ$6:$AQ$105,MATCH($A16,'AVALIAÇÃO MAPA'!$AU$6:$AU$105,0)))</f>
        <v/>
      </c>
      <c r="K16" s="15" t="str">
        <f aca="false">IF($A16="","",INDEX('AVALIAÇÃO MAPA'!$AR$6:$AR$105,MATCH($A16,'AVALIAÇÃO MAPA'!$AU$6:$AU$105,0)))</f>
        <v/>
      </c>
      <c r="L16" s="15" t="str">
        <f aca="false">IF($A16="","",INDEX('AVALIAÇÃO MAPA'!$AT$6:$AT$105,MATCH($A16,'AVALIAÇÃO MAPA'!$AU$6:$AU$105,0)))</f>
        <v/>
      </c>
      <c r="M16" s="15" t="str">
        <f aca="false">IF($A16="","",INDEX('AVALIAÇÃO MAPA'!$AW$6:$AW$105,MATCH($A16,'AVALIAÇÃO MAPA'!$AU$6:$AU$105,0)))</f>
        <v/>
      </c>
      <c r="N16" s="27" t="str">
        <f aca="false">IF($A16="","",INDEX('AVALIAÇÃO MAPA'!$BB$6:$BB$105,MATCH($A16,'AVALIAÇÃO MAPA'!$AU$6:$AU$105,0)))</f>
        <v/>
      </c>
      <c r="W16" s="32" t="n">
        <v>11</v>
      </c>
      <c r="X16" s="32" t="n">
        <f aca="false">IF(AND('AVALIAÇÃO MAPA'!AN16&lt;&gt;"",'AVALIAÇÃO MAPA'!D16=1),'AVALIAÇÃO MAPA'!AM16,-1)</f>
        <v>-1</v>
      </c>
      <c r="Y16" s="32" t="n">
        <f aca="false">IF(AND('AVALIAÇÃO MAPA'!AN16&lt;&gt;"",'AVALIAÇÃO MAPA'!D16=1),'AVALIAÇÃO MAPA'!AJ16,-1)</f>
        <v>-1</v>
      </c>
      <c r="Z16" s="32" t="str">
        <f aca="false">'AVALIAÇÃO MAPA'!AS16</f>
        <v/>
      </c>
      <c r="AA16" s="32" t="str">
        <f aca="false">'AVALIAÇÃO MAPA'!AP16</f>
        <v/>
      </c>
      <c r="AB16" s="32" t="n">
        <f aca="false">IF(Z16="Fazer primeiro",Y16,-1)</f>
        <v>-1</v>
      </c>
      <c r="AC16" s="32" t="n">
        <f aca="false">IF(Z16="Projeto estratégico",Y16,-1)</f>
        <v>-1</v>
      </c>
      <c r="AD16" s="32" t="n">
        <f aca="false">IF(Z16="Quick win",Y16,-1)</f>
        <v>-1</v>
      </c>
      <c r="AE16" s="32" t="n">
        <f aca="false">IF(Z16="Evitar",Y16,-1)</f>
        <v>-1</v>
      </c>
      <c r="AF16" s="32" t="n">
        <f aca="false">IF(AA16="SIM",Y16,-1)</f>
        <v>-1</v>
      </c>
    </row>
    <row r="17" customFormat="false" ht="15" hidden="false" customHeight="false" outlineLevel="0" collapsed="false">
      <c r="A17" s="15" t="str">
        <f aca="false">IF(COUNT('AVALIAÇÃO MAPA'!$AU$6:$AU$105)&gt;=12,12,"")</f>
        <v/>
      </c>
      <c r="B17" s="15" t="str">
        <f aca="false">IF($A17="","",INDEX('AVALIAÇÃO MAPA'!$A$6:$A$105,MATCH($A17,'AVALIAÇÃO MAPA'!$AU$6:$AU$105,0)))</f>
        <v/>
      </c>
      <c r="C17" s="18" t="str">
        <f aca="false">IF($A17="","",INDEX('AVALIAÇÃO MAPA'!$B$6:$B$105,MATCH($A17,'AVALIAÇÃO MAPA'!$AU$6:$AU$105,0)))</f>
        <v/>
      </c>
      <c r="D17" s="15" t="str">
        <f aca="false">IF($A17="","",INDEX('AVALIAÇÃO MAPA'!$C$6:$C$105,MATCH($A17,'AVALIAÇÃO MAPA'!$AU$6:$AU$105,0)))</f>
        <v/>
      </c>
      <c r="E17" s="35" t="str">
        <f aca="false">IF($A17="","",INDEX('AVALIAÇÃO MAPA'!$AN$6:$AN$105,MATCH($A17,'AVALIAÇÃO MAPA'!$AU$6:$AU$105,0)))</f>
        <v/>
      </c>
      <c r="F17" s="29" t="str">
        <f aca="false">IF($A17="","",INDEX('AVALIAÇÃO MAPA'!$AJ$6:$AJ$105,MATCH($A17,'AVALIAÇÃO MAPA'!$AU$6:$AU$105,0)))</f>
        <v/>
      </c>
      <c r="G17" s="29" t="str">
        <f aca="false">IF($A17="","",INDEX('AVALIAÇÃO MAPA'!$AM$6:$AM$105,MATCH($A17,'AVALIAÇÃO MAPA'!$AU$6:$AU$105,0)))</f>
        <v/>
      </c>
      <c r="H17" s="15" t="str">
        <f aca="false">IF($A17="","",INDEX('AVALIAÇÃO MAPA'!$AS$6:$AS$105,MATCH($A17,'AVALIAÇÃO MAPA'!$AU$6:$AU$105,0)))</f>
        <v/>
      </c>
      <c r="I17" s="15" t="str">
        <f aca="false">IF($A17="","",INDEX('AVALIAÇÃO MAPA'!$AP$6:$AP$105,MATCH($A17,'AVALIAÇÃO MAPA'!$AU$6:$AU$105,0)))</f>
        <v/>
      </c>
      <c r="J17" s="15" t="str">
        <f aca="false">IF($A17="","",INDEX('AVALIAÇÃO MAPA'!$AQ$6:$AQ$105,MATCH($A17,'AVALIAÇÃO MAPA'!$AU$6:$AU$105,0)))</f>
        <v/>
      </c>
      <c r="K17" s="15" t="str">
        <f aca="false">IF($A17="","",INDEX('AVALIAÇÃO MAPA'!$AR$6:$AR$105,MATCH($A17,'AVALIAÇÃO MAPA'!$AU$6:$AU$105,0)))</f>
        <v/>
      </c>
      <c r="L17" s="15" t="str">
        <f aca="false">IF($A17="","",INDEX('AVALIAÇÃO MAPA'!$AT$6:$AT$105,MATCH($A17,'AVALIAÇÃO MAPA'!$AU$6:$AU$105,0)))</f>
        <v/>
      </c>
      <c r="M17" s="15" t="str">
        <f aca="false">IF($A17="","",INDEX('AVALIAÇÃO MAPA'!$AW$6:$AW$105,MATCH($A17,'AVALIAÇÃO MAPA'!$AU$6:$AU$105,0)))</f>
        <v/>
      </c>
      <c r="N17" s="27" t="str">
        <f aca="false">IF($A17="","",INDEX('AVALIAÇÃO MAPA'!$BB$6:$BB$105,MATCH($A17,'AVALIAÇÃO MAPA'!$AU$6:$AU$105,0)))</f>
        <v/>
      </c>
      <c r="W17" s="32" t="n">
        <v>12</v>
      </c>
      <c r="X17" s="32" t="n">
        <f aca="false">IF(AND('AVALIAÇÃO MAPA'!AN17&lt;&gt;"",'AVALIAÇÃO MAPA'!D17=1),'AVALIAÇÃO MAPA'!AM17,-1)</f>
        <v>-1</v>
      </c>
      <c r="Y17" s="32" t="n">
        <f aca="false">IF(AND('AVALIAÇÃO MAPA'!AN17&lt;&gt;"",'AVALIAÇÃO MAPA'!D17=1),'AVALIAÇÃO MAPA'!AJ17,-1)</f>
        <v>-1</v>
      </c>
      <c r="Z17" s="32" t="str">
        <f aca="false">'AVALIAÇÃO MAPA'!AS17</f>
        <v/>
      </c>
      <c r="AA17" s="32" t="str">
        <f aca="false">'AVALIAÇÃO MAPA'!AP17</f>
        <v/>
      </c>
      <c r="AB17" s="32" t="n">
        <f aca="false">IF(Z17="Fazer primeiro",Y17,-1)</f>
        <v>-1</v>
      </c>
      <c r="AC17" s="32" t="n">
        <f aca="false">IF(Z17="Projeto estratégico",Y17,-1)</f>
        <v>-1</v>
      </c>
      <c r="AD17" s="32" t="n">
        <f aca="false">IF(Z17="Quick win",Y17,-1)</f>
        <v>-1</v>
      </c>
      <c r="AE17" s="32" t="n">
        <f aca="false">IF(Z17="Evitar",Y17,-1)</f>
        <v>-1</v>
      </c>
      <c r="AF17" s="32" t="n">
        <f aca="false">IF(AA17="SIM",Y17,-1)</f>
        <v>-1</v>
      </c>
    </row>
    <row r="18" customFormat="false" ht="15" hidden="false" customHeight="false" outlineLevel="0" collapsed="false">
      <c r="A18" s="15" t="str">
        <f aca="false">IF(COUNT('AVALIAÇÃO MAPA'!$AU$6:$AU$105)&gt;=13,13,"")</f>
        <v/>
      </c>
      <c r="B18" s="15" t="str">
        <f aca="false">IF($A18="","",INDEX('AVALIAÇÃO MAPA'!$A$6:$A$105,MATCH($A18,'AVALIAÇÃO MAPA'!$AU$6:$AU$105,0)))</f>
        <v/>
      </c>
      <c r="C18" s="18" t="str">
        <f aca="false">IF($A18="","",INDEX('AVALIAÇÃO MAPA'!$B$6:$B$105,MATCH($A18,'AVALIAÇÃO MAPA'!$AU$6:$AU$105,0)))</f>
        <v/>
      </c>
      <c r="D18" s="15" t="str">
        <f aca="false">IF($A18="","",INDEX('AVALIAÇÃO MAPA'!$C$6:$C$105,MATCH($A18,'AVALIAÇÃO MAPA'!$AU$6:$AU$105,0)))</f>
        <v/>
      </c>
      <c r="E18" s="35" t="str">
        <f aca="false">IF($A18="","",INDEX('AVALIAÇÃO MAPA'!$AN$6:$AN$105,MATCH($A18,'AVALIAÇÃO MAPA'!$AU$6:$AU$105,0)))</f>
        <v/>
      </c>
      <c r="F18" s="29" t="str">
        <f aca="false">IF($A18="","",INDEX('AVALIAÇÃO MAPA'!$AJ$6:$AJ$105,MATCH($A18,'AVALIAÇÃO MAPA'!$AU$6:$AU$105,0)))</f>
        <v/>
      </c>
      <c r="G18" s="29" t="str">
        <f aca="false">IF($A18="","",INDEX('AVALIAÇÃO MAPA'!$AM$6:$AM$105,MATCH($A18,'AVALIAÇÃO MAPA'!$AU$6:$AU$105,0)))</f>
        <v/>
      </c>
      <c r="H18" s="15" t="str">
        <f aca="false">IF($A18="","",INDEX('AVALIAÇÃO MAPA'!$AS$6:$AS$105,MATCH($A18,'AVALIAÇÃO MAPA'!$AU$6:$AU$105,0)))</f>
        <v/>
      </c>
      <c r="I18" s="15" t="str">
        <f aca="false">IF($A18="","",INDEX('AVALIAÇÃO MAPA'!$AP$6:$AP$105,MATCH($A18,'AVALIAÇÃO MAPA'!$AU$6:$AU$105,0)))</f>
        <v/>
      </c>
      <c r="J18" s="15" t="str">
        <f aca="false">IF($A18="","",INDEX('AVALIAÇÃO MAPA'!$AQ$6:$AQ$105,MATCH($A18,'AVALIAÇÃO MAPA'!$AU$6:$AU$105,0)))</f>
        <v/>
      </c>
      <c r="K18" s="15" t="str">
        <f aca="false">IF($A18="","",INDEX('AVALIAÇÃO MAPA'!$AR$6:$AR$105,MATCH($A18,'AVALIAÇÃO MAPA'!$AU$6:$AU$105,0)))</f>
        <v/>
      </c>
      <c r="L18" s="15" t="str">
        <f aca="false">IF($A18="","",INDEX('AVALIAÇÃO MAPA'!$AT$6:$AT$105,MATCH($A18,'AVALIAÇÃO MAPA'!$AU$6:$AU$105,0)))</f>
        <v/>
      </c>
      <c r="M18" s="15" t="str">
        <f aca="false">IF($A18="","",INDEX('AVALIAÇÃO MAPA'!$AW$6:$AW$105,MATCH($A18,'AVALIAÇÃO MAPA'!$AU$6:$AU$105,0)))</f>
        <v/>
      </c>
      <c r="N18" s="27" t="str">
        <f aca="false">IF($A18="","",INDEX('AVALIAÇÃO MAPA'!$BB$6:$BB$105,MATCH($A18,'AVALIAÇÃO MAPA'!$AU$6:$AU$105,0)))</f>
        <v/>
      </c>
      <c r="W18" s="32" t="n">
        <v>13</v>
      </c>
      <c r="X18" s="32" t="n">
        <f aca="false">IF(AND('AVALIAÇÃO MAPA'!AN18&lt;&gt;"",'AVALIAÇÃO MAPA'!D18=1),'AVALIAÇÃO MAPA'!AM18,-1)</f>
        <v>-1</v>
      </c>
      <c r="Y18" s="32" t="n">
        <f aca="false">IF(AND('AVALIAÇÃO MAPA'!AN18&lt;&gt;"",'AVALIAÇÃO MAPA'!D18=1),'AVALIAÇÃO MAPA'!AJ18,-1)</f>
        <v>-1</v>
      </c>
      <c r="Z18" s="32" t="str">
        <f aca="false">'AVALIAÇÃO MAPA'!AS18</f>
        <v/>
      </c>
      <c r="AA18" s="32" t="str">
        <f aca="false">'AVALIAÇÃO MAPA'!AP18</f>
        <v/>
      </c>
      <c r="AB18" s="32" t="n">
        <f aca="false">IF(Z18="Fazer primeiro",Y18,-1)</f>
        <v>-1</v>
      </c>
      <c r="AC18" s="32" t="n">
        <f aca="false">IF(Z18="Projeto estratégico",Y18,-1)</f>
        <v>-1</v>
      </c>
      <c r="AD18" s="32" t="n">
        <f aca="false">IF(Z18="Quick win",Y18,-1)</f>
        <v>-1</v>
      </c>
      <c r="AE18" s="32" t="n">
        <f aca="false">IF(Z18="Evitar",Y18,-1)</f>
        <v>-1</v>
      </c>
      <c r="AF18" s="32" t="n">
        <f aca="false">IF(AA18="SIM",Y18,-1)</f>
        <v>-1</v>
      </c>
    </row>
    <row r="19" customFormat="false" ht="15" hidden="false" customHeight="false" outlineLevel="0" collapsed="false">
      <c r="A19" s="15" t="str">
        <f aca="false">IF(COUNT('AVALIAÇÃO MAPA'!$AU$6:$AU$105)&gt;=14,14,"")</f>
        <v/>
      </c>
      <c r="B19" s="15" t="str">
        <f aca="false">IF($A19="","",INDEX('AVALIAÇÃO MAPA'!$A$6:$A$105,MATCH($A19,'AVALIAÇÃO MAPA'!$AU$6:$AU$105,0)))</f>
        <v/>
      </c>
      <c r="C19" s="18" t="str">
        <f aca="false">IF($A19="","",INDEX('AVALIAÇÃO MAPA'!$B$6:$B$105,MATCH($A19,'AVALIAÇÃO MAPA'!$AU$6:$AU$105,0)))</f>
        <v/>
      </c>
      <c r="D19" s="15" t="str">
        <f aca="false">IF($A19="","",INDEX('AVALIAÇÃO MAPA'!$C$6:$C$105,MATCH($A19,'AVALIAÇÃO MAPA'!$AU$6:$AU$105,0)))</f>
        <v/>
      </c>
      <c r="E19" s="35" t="str">
        <f aca="false">IF($A19="","",INDEX('AVALIAÇÃO MAPA'!$AN$6:$AN$105,MATCH($A19,'AVALIAÇÃO MAPA'!$AU$6:$AU$105,0)))</f>
        <v/>
      </c>
      <c r="F19" s="29" t="str">
        <f aca="false">IF($A19="","",INDEX('AVALIAÇÃO MAPA'!$AJ$6:$AJ$105,MATCH($A19,'AVALIAÇÃO MAPA'!$AU$6:$AU$105,0)))</f>
        <v/>
      </c>
      <c r="G19" s="29" t="str">
        <f aca="false">IF($A19="","",INDEX('AVALIAÇÃO MAPA'!$AM$6:$AM$105,MATCH($A19,'AVALIAÇÃO MAPA'!$AU$6:$AU$105,0)))</f>
        <v/>
      </c>
      <c r="H19" s="15" t="str">
        <f aca="false">IF($A19="","",INDEX('AVALIAÇÃO MAPA'!$AS$6:$AS$105,MATCH($A19,'AVALIAÇÃO MAPA'!$AU$6:$AU$105,0)))</f>
        <v/>
      </c>
      <c r="I19" s="15" t="str">
        <f aca="false">IF($A19="","",INDEX('AVALIAÇÃO MAPA'!$AP$6:$AP$105,MATCH($A19,'AVALIAÇÃO MAPA'!$AU$6:$AU$105,0)))</f>
        <v/>
      </c>
      <c r="J19" s="15" t="str">
        <f aca="false">IF($A19="","",INDEX('AVALIAÇÃO MAPA'!$AQ$6:$AQ$105,MATCH($A19,'AVALIAÇÃO MAPA'!$AU$6:$AU$105,0)))</f>
        <v/>
      </c>
      <c r="K19" s="15" t="str">
        <f aca="false">IF($A19="","",INDEX('AVALIAÇÃO MAPA'!$AR$6:$AR$105,MATCH($A19,'AVALIAÇÃO MAPA'!$AU$6:$AU$105,0)))</f>
        <v/>
      </c>
      <c r="L19" s="15" t="str">
        <f aca="false">IF($A19="","",INDEX('AVALIAÇÃO MAPA'!$AT$6:$AT$105,MATCH($A19,'AVALIAÇÃO MAPA'!$AU$6:$AU$105,0)))</f>
        <v/>
      </c>
      <c r="M19" s="15" t="str">
        <f aca="false">IF($A19="","",INDEX('AVALIAÇÃO MAPA'!$AW$6:$AW$105,MATCH($A19,'AVALIAÇÃO MAPA'!$AU$6:$AU$105,0)))</f>
        <v/>
      </c>
      <c r="N19" s="27" t="str">
        <f aca="false">IF($A19="","",INDEX('AVALIAÇÃO MAPA'!$BB$6:$BB$105,MATCH($A19,'AVALIAÇÃO MAPA'!$AU$6:$AU$105,0)))</f>
        <v/>
      </c>
      <c r="W19" s="32" t="n">
        <v>14</v>
      </c>
      <c r="X19" s="32" t="n">
        <f aca="false">IF(AND('AVALIAÇÃO MAPA'!AN19&lt;&gt;"",'AVALIAÇÃO MAPA'!D19=1),'AVALIAÇÃO MAPA'!AM19,-1)</f>
        <v>-1</v>
      </c>
      <c r="Y19" s="32" t="n">
        <f aca="false">IF(AND('AVALIAÇÃO MAPA'!AN19&lt;&gt;"",'AVALIAÇÃO MAPA'!D19=1),'AVALIAÇÃO MAPA'!AJ19,-1)</f>
        <v>-1</v>
      </c>
      <c r="Z19" s="32" t="str">
        <f aca="false">'AVALIAÇÃO MAPA'!AS19</f>
        <v/>
      </c>
      <c r="AA19" s="32" t="str">
        <f aca="false">'AVALIAÇÃO MAPA'!AP19</f>
        <v/>
      </c>
      <c r="AB19" s="32" t="n">
        <f aca="false">IF(Z19="Fazer primeiro",Y19,-1)</f>
        <v>-1</v>
      </c>
      <c r="AC19" s="32" t="n">
        <f aca="false">IF(Z19="Projeto estratégico",Y19,-1)</f>
        <v>-1</v>
      </c>
      <c r="AD19" s="32" t="n">
        <f aca="false">IF(Z19="Quick win",Y19,-1)</f>
        <v>-1</v>
      </c>
      <c r="AE19" s="32" t="n">
        <f aca="false">IF(Z19="Evitar",Y19,-1)</f>
        <v>-1</v>
      </c>
      <c r="AF19" s="32" t="n">
        <f aca="false">IF(AA19="SIM",Y19,-1)</f>
        <v>-1</v>
      </c>
    </row>
    <row r="20" customFormat="false" ht="15" hidden="false" customHeight="false" outlineLevel="0" collapsed="false">
      <c r="A20" s="15" t="str">
        <f aca="false">IF(COUNT('AVALIAÇÃO MAPA'!$AU$6:$AU$105)&gt;=15,15,"")</f>
        <v/>
      </c>
      <c r="B20" s="15" t="str">
        <f aca="false">IF($A20="","",INDEX('AVALIAÇÃO MAPA'!$A$6:$A$105,MATCH($A20,'AVALIAÇÃO MAPA'!$AU$6:$AU$105,0)))</f>
        <v/>
      </c>
      <c r="C20" s="18" t="str">
        <f aca="false">IF($A20="","",INDEX('AVALIAÇÃO MAPA'!$B$6:$B$105,MATCH($A20,'AVALIAÇÃO MAPA'!$AU$6:$AU$105,0)))</f>
        <v/>
      </c>
      <c r="D20" s="15" t="str">
        <f aca="false">IF($A20="","",INDEX('AVALIAÇÃO MAPA'!$C$6:$C$105,MATCH($A20,'AVALIAÇÃO MAPA'!$AU$6:$AU$105,0)))</f>
        <v/>
      </c>
      <c r="E20" s="35" t="str">
        <f aca="false">IF($A20="","",INDEX('AVALIAÇÃO MAPA'!$AN$6:$AN$105,MATCH($A20,'AVALIAÇÃO MAPA'!$AU$6:$AU$105,0)))</f>
        <v/>
      </c>
      <c r="F20" s="29" t="str">
        <f aca="false">IF($A20="","",INDEX('AVALIAÇÃO MAPA'!$AJ$6:$AJ$105,MATCH($A20,'AVALIAÇÃO MAPA'!$AU$6:$AU$105,0)))</f>
        <v/>
      </c>
      <c r="G20" s="29" t="str">
        <f aca="false">IF($A20="","",INDEX('AVALIAÇÃO MAPA'!$AM$6:$AM$105,MATCH($A20,'AVALIAÇÃO MAPA'!$AU$6:$AU$105,0)))</f>
        <v/>
      </c>
      <c r="H20" s="15" t="str">
        <f aca="false">IF($A20="","",INDEX('AVALIAÇÃO MAPA'!$AS$6:$AS$105,MATCH($A20,'AVALIAÇÃO MAPA'!$AU$6:$AU$105,0)))</f>
        <v/>
      </c>
      <c r="I20" s="15" t="str">
        <f aca="false">IF($A20="","",INDEX('AVALIAÇÃO MAPA'!$AP$6:$AP$105,MATCH($A20,'AVALIAÇÃO MAPA'!$AU$6:$AU$105,0)))</f>
        <v/>
      </c>
      <c r="J20" s="15" t="str">
        <f aca="false">IF($A20="","",INDEX('AVALIAÇÃO MAPA'!$AQ$6:$AQ$105,MATCH($A20,'AVALIAÇÃO MAPA'!$AU$6:$AU$105,0)))</f>
        <v/>
      </c>
      <c r="K20" s="15" t="str">
        <f aca="false">IF($A20="","",INDEX('AVALIAÇÃO MAPA'!$AR$6:$AR$105,MATCH($A20,'AVALIAÇÃO MAPA'!$AU$6:$AU$105,0)))</f>
        <v/>
      </c>
      <c r="L20" s="15" t="str">
        <f aca="false">IF($A20="","",INDEX('AVALIAÇÃO MAPA'!$AT$6:$AT$105,MATCH($A20,'AVALIAÇÃO MAPA'!$AU$6:$AU$105,0)))</f>
        <v/>
      </c>
      <c r="M20" s="15" t="str">
        <f aca="false">IF($A20="","",INDEX('AVALIAÇÃO MAPA'!$AW$6:$AW$105,MATCH($A20,'AVALIAÇÃO MAPA'!$AU$6:$AU$105,0)))</f>
        <v/>
      </c>
      <c r="N20" s="27" t="str">
        <f aca="false">IF($A20="","",INDEX('AVALIAÇÃO MAPA'!$BB$6:$BB$105,MATCH($A20,'AVALIAÇÃO MAPA'!$AU$6:$AU$105,0)))</f>
        <v/>
      </c>
      <c r="W20" s="32" t="n">
        <v>15</v>
      </c>
      <c r="X20" s="32" t="n">
        <f aca="false">IF(AND('AVALIAÇÃO MAPA'!AN20&lt;&gt;"",'AVALIAÇÃO MAPA'!D20=1),'AVALIAÇÃO MAPA'!AM20,-1)</f>
        <v>-1</v>
      </c>
      <c r="Y20" s="32" t="n">
        <f aca="false">IF(AND('AVALIAÇÃO MAPA'!AN20&lt;&gt;"",'AVALIAÇÃO MAPA'!D20=1),'AVALIAÇÃO MAPA'!AJ20,-1)</f>
        <v>-1</v>
      </c>
      <c r="Z20" s="32" t="str">
        <f aca="false">'AVALIAÇÃO MAPA'!AS20</f>
        <v/>
      </c>
      <c r="AA20" s="32" t="str">
        <f aca="false">'AVALIAÇÃO MAPA'!AP20</f>
        <v/>
      </c>
      <c r="AB20" s="32" t="n">
        <f aca="false">IF(Z20="Fazer primeiro",Y20,-1)</f>
        <v>-1</v>
      </c>
      <c r="AC20" s="32" t="n">
        <f aca="false">IF(Z20="Projeto estratégico",Y20,-1)</f>
        <v>-1</v>
      </c>
      <c r="AD20" s="32" t="n">
        <f aca="false">IF(Z20="Quick win",Y20,-1)</f>
        <v>-1</v>
      </c>
      <c r="AE20" s="32" t="n">
        <f aca="false">IF(Z20="Evitar",Y20,-1)</f>
        <v>-1</v>
      </c>
      <c r="AF20" s="32" t="n">
        <f aca="false">IF(AA20="SIM",Y20,-1)</f>
        <v>-1</v>
      </c>
    </row>
    <row r="21" customFormat="false" ht="15" hidden="false" customHeight="false" outlineLevel="0" collapsed="false">
      <c r="A21" s="15" t="str">
        <f aca="false">IF(COUNT('AVALIAÇÃO MAPA'!$AU$6:$AU$105)&gt;=16,16,"")</f>
        <v/>
      </c>
      <c r="B21" s="15" t="str">
        <f aca="false">IF($A21="","",INDEX('AVALIAÇÃO MAPA'!$A$6:$A$105,MATCH($A21,'AVALIAÇÃO MAPA'!$AU$6:$AU$105,0)))</f>
        <v/>
      </c>
      <c r="C21" s="18" t="str">
        <f aca="false">IF($A21="","",INDEX('AVALIAÇÃO MAPA'!$B$6:$B$105,MATCH($A21,'AVALIAÇÃO MAPA'!$AU$6:$AU$105,0)))</f>
        <v/>
      </c>
      <c r="D21" s="15" t="str">
        <f aca="false">IF($A21="","",INDEX('AVALIAÇÃO MAPA'!$C$6:$C$105,MATCH($A21,'AVALIAÇÃO MAPA'!$AU$6:$AU$105,0)))</f>
        <v/>
      </c>
      <c r="E21" s="35" t="str">
        <f aca="false">IF($A21="","",INDEX('AVALIAÇÃO MAPA'!$AN$6:$AN$105,MATCH($A21,'AVALIAÇÃO MAPA'!$AU$6:$AU$105,0)))</f>
        <v/>
      </c>
      <c r="F21" s="29" t="str">
        <f aca="false">IF($A21="","",INDEX('AVALIAÇÃO MAPA'!$AJ$6:$AJ$105,MATCH($A21,'AVALIAÇÃO MAPA'!$AU$6:$AU$105,0)))</f>
        <v/>
      </c>
      <c r="G21" s="29" t="str">
        <f aca="false">IF($A21="","",INDEX('AVALIAÇÃO MAPA'!$AM$6:$AM$105,MATCH($A21,'AVALIAÇÃO MAPA'!$AU$6:$AU$105,0)))</f>
        <v/>
      </c>
      <c r="H21" s="15" t="str">
        <f aca="false">IF($A21="","",INDEX('AVALIAÇÃO MAPA'!$AS$6:$AS$105,MATCH($A21,'AVALIAÇÃO MAPA'!$AU$6:$AU$105,0)))</f>
        <v/>
      </c>
      <c r="I21" s="15" t="str">
        <f aca="false">IF($A21="","",INDEX('AVALIAÇÃO MAPA'!$AP$6:$AP$105,MATCH($A21,'AVALIAÇÃO MAPA'!$AU$6:$AU$105,0)))</f>
        <v/>
      </c>
      <c r="J21" s="15" t="str">
        <f aca="false">IF($A21="","",INDEX('AVALIAÇÃO MAPA'!$AQ$6:$AQ$105,MATCH($A21,'AVALIAÇÃO MAPA'!$AU$6:$AU$105,0)))</f>
        <v/>
      </c>
      <c r="K21" s="15" t="str">
        <f aca="false">IF($A21="","",INDEX('AVALIAÇÃO MAPA'!$AR$6:$AR$105,MATCH($A21,'AVALIAÇÃO MAPA'!$AU$6:$AU$105,0)))</f>
        <v/>
      </c>
      <c r="L21" s="15" t="str">
        <f aca="false">IF($A21="","",INDEX('AVALIAÇÃO MAPA'!$AT$6:$AT$105,MATCH($A21,'AVALIAÇÃO MAPA'!$AU$6:$AU$105,0)))</f>
        <v/>
      </c>
      <c r="M21" s="15" t="str">
        <f aca="false">IF($A21="","",INDEX('AVALIAÇÃO MAPA'!$AW$6:$AW$105,MATCH($A21,'AVALIAÇÃO MAPA'!$AU$6:$AU$105,0)))</f>
        <v/>
      </c>
      <c r="N21" s="27" t="str">
        <f aca="false">IF($A21="","",INDEX('AVALIAÇÃO MAPA'!$BB$6:$BB$105,MATCH($A21,'AVALIAÇÃO MAPA'!$AU$6:$AU$105,0)))</f>
        <v/>
      </c>
      <c r="W21" s="32" t="n">
        <v>16</v>
      </c>
      <c r="X21" s="32" t="n">
        <f aca="false">IF(AND('AVALIAÇÃO MAPA'!AN21&lt;&gt;"",'AVALIAÇÃO MAPA'!D21=1),'AVALIAÇÃO MAPA'!AM21,-1)</f>
        <v>-1</v>
      </c>
      <c r="Y21" s="32" t="n">
        <f aca="false">IF(AND('AVALIAÇÃO MAPA'!AN21&lt;&gt;"",'AVALIAÇÃO MAPA'!D21=1),'AVALIAÇÃO MAPA'!AJ21,-1)</f>
        <v>-1</v>
      </c>
      <c r="Z21" s="32" t="str">
        <f aca="false">'AVALIAÇÃO MAPA'!AS21</f>
        <v/>
      </c>
      <c r="AA21" s="32" t="str">
        <f aca="false">'AVALIAÇÃO MAPA'!AP21</f>
        <v/>
      </c>
      <c r="AB21" s="32" t="n">
        <f aca="false">IF(Z21="Fazer primeiro",Y21,-1)</f>
        <v>-1</v>
      </c>
      <c r="AC21" s="32" t="n">
        <f aca="false">IF(Z21="Projeto estratégico",Y21,-1)</f>
        <v>-1</v>
      </c>
      <c r="AD21" s="32" t="n">
        <f aca="false">IF(Z21="Quick win",Y21,-1)</f>
        <v>-1</v>
      </c>
      <c r="AE21" s="32" t="n">
        <f aca="false">IF(Z21="Evitar",Y21,-1)</f>
        <v>-1</v>
      </c>
      <c r="AF21" s="32" t="n">
        <f aca="false">IF(AA21="SIM",Y21,-1)</f>
        <v>-1</v>
      </c>
    </row>
    <row r="22" customFormat="false" ht="15" hidden="false" customHeight="false" outlineLevel="0" collapsed="false">
      <c r="A22" s="15" t="str">
        <f aca="false">IF(COUNT('AVALIAÇÃO MAPA'!$AU$6:$AU$105)&gt;=17,17,"")</f>
        <v/>
      </c>
      <c r="B22" s="15" t="str">
        <f aca="false">IF($A22="","",INDEX('AVALIAÇÃO MAPA'!$A$6:$A$105,MATCH($A22,'AVALIAÇÃO MAPA'!$AU$6:$AU$105,0)))</f>
        <v/>
      </c>
      <c r="C22" s="18" t="str">
        <f aca="false">IF($A22="","",INDEX('AVALIAÇÃO MAPA'!$B$6:$B$105,MATCH($A22,'AVALIAÇÃO MAPA'!$AU$6:$AU$105,0)))</f>
        <v/>
      </c>
      <c r="D22" s="15" t="str">
        <f aca="false">IF($A22="","",INDEX('AVALIAÇÃO MAPA'!$C$6:$C$105,MATCH($A22,'AVALIAÇÃO MAPA'!$AU$6:$AU$105,0)))</f>
        <v/>
      </c>
      <c r="E22" s="35" t="str">
        <f aca="false">IF($A22="","",INDEX('AVALIAÇÃO MAPA'!$AN$6:$AN$105,MATCH($A22,'AVALIAÇÃO MAPA'!$AU$6:$AU$105,0)))</f>
        <v/>
      </c>
      <c r="F22" s="29" t="str">
        <f aca="false">IF($A22="","",INDEX('AVALIAÇÃO MAPA'!$AJ$6:$AJ$105,MATCH($A22,'AVALIAÇÃO MAPA'!$AU$6:$AU$105,0)))</f>
        <v/>
      </c>
      <c r="G22" s="29" t="str">
        <f aca="false">IF($A22="","",INDEX('AVALIAÇÃO MAPA'!$AM$6:$AM$105,MATCH($A22,'AVALIAÇÃO MAPA'!$AU$6:$AU$105,0)))</f>
        <v/>
      </c>
      <c r="H22" s="15" t="str">
        <f aca="false">IF($A22="","",INDEX('AVALIAÇÃO MAPA'!$AS$6:$AS$105,MATCH($A22,'AVALIAÇÃO MAPA'!$AU$6:$AU$105,0)))</f>
        <v/>
      </c>
      <c r="I22" s="15" t="str">
        <f aca="false">IF($A22="","",INDEX('AVALIAÇÃO MAPA'!$AP$6:$AP$105,MATCH($A22,'AVALIAÇÃO MAPA'!$AU$6:$AU$105,0)))</f>
        <v/>
      </c>
      <c r="J22" s="15" t="str">
        <f aca="false">IF($A22="","",INDEX('AVALIAÇÃO MAPA'!$AQ$6:$AQ$105,MATCH($A22,'AVALIAÇÃO MAPA'!$AU$6:$AU$105,0)))</f>
        <v/>
      </c>
      <c r="K22" s="15" t="str">
        <f aca="false">IF($A22="","",INDEX('AVALIAÇÃO MAPA'!$AR$6:$AR$105,MATCH($A22,'AVALIAÇÃO MAPA'!$AU$6:$AU$105,0)))</f>
        <v/>
      </c>
      <c r="L22" s="15" t="str">
        <f aca="false">IF($A22="","",INDEX('AVALIAÇÃO MAPA'!$AT$6:$AT$105,MATCH($A22,'AVALIAÇÃO MAPA'!$AU$6:$AU$105,0)))</f>
        <v/>
      </c>
      <c r="M22" s="15" t="str">
        <f aca="false">IF($A22="","",INDEX('AVALIAÇÃO MAPA'!$AW$6:$AW$105,MATCH($A22,'AVALIAÇÃO MAPA'!$AU$6:$AU$105,0)))</f>
        <v/>
      </c>
      <c r="N22" s="27" t="str">
        <f aca="false">IF($A22="","",INDEX('AVALIAÇÃO MAPA'!$BB$6:$BB$105,MATCH($A22,'AVALIAÇÃO MAPA'!$AU$6:$AU$105,0)))</f>
        <v/>
      </c>
      <c r="W22" s="32" t="n">
        <v>17</v>
      </c>
      <c r="X22" s="32" t="n">
        <f aca="false">IF(AND('AVALIAÇÃO MAPA'!AN22&lt;&gt;"",'AVALIAÇÃO MAPA'!D22=1),'AVALIAÇÃO MAPA'!AM22,-1)</f>
        <v>-1</v>
      </c>
      <c r="Y22" s="32" t="n">
        <f aca="false">IF(AND('AVALIAÇÃO MAPA'!AN22&lt;&gt;"",'AVALIAÇÃO MAPA'!D22=1),'AVALIAÇÃO MAPA'!AJ22,-1)</f>
        <v>-1</v>
      </c>
      <c r="Z22" s="32" t="str">
        <f aca="false">'AVALIAÇÃO MAPA'!AS22</f>
        <v/>
      </c>
      <c r="AA22" s="32" t="str">
        <f aca="false">'AVALIAÇÃO MAPA'!AP22</f>
        <v/>
      </c>
      <c r="AB22" s="32" t="n">
        <f aca="false">IF(Z22="Fazer primeiro",Y22,-1)</f>
        <v>-1</v>
      </c>
      <c r="AC22" s="32" t="n">
        <f aca="false">IF(Z22="Projeto estratégico",Y22,-1)</f>
        <v>-1</v>
      </c>
      <c r="AD22" s="32" t="n">
        <f aca="false">IF(Z22="Quick win",Y22,-1)</f>
        <v>-1</v>
      </c>
      <c r="AE22" s="32" t="n">
        <f aca="false">IF(Z22="Evitar",Y22,-1)</f>
        <v>-1</v>
      </c>
      <c r="AF22" s="32" t="n">
        <f aca="false">IF(AA22="SIM",Y22,-1)</f>
        <v>-1</v>
      </c>
    </row>
    <row r="23" customFormat="false" ht="15" hidden="false" customHeight="false" outlineLevel="0" collapsed="false">
      <c r="A23" s="15" t="str">
        <f aca="false">IF(COUNT('AVALIAÇÃO MAPA'!$AU$6:$AU$105)&gt;=18,18,"")</f>
        <v/>
      </c>
      <c r="B23" s="15" t="str">
        <f aca="false">IF($A23="","",INDEX('AVALIAÇÃO MAPA'!$A$6:$A$105,MATCH($A23,'AVALIAÇÃO MAPA'!$AU$6:$AU$105,0)))</f>
        <v/>
      </c>
      <c r="C23" s="18" t="str">
        <f aca="false">IF($A23="","",INDEX('AVALIAÇÃO MAPA'!$B$6:$B$105,MATCH($A23,'AVALIAÇÃO MAPA'!$AU$6:$AU$105,0)))</f>
        <v/>
      </c>
      <c r="D23" s="15" t="str">
        <f aca="false">IF($A23="","",INDEX('AVALIAÇÃO MAPA'!$C$6:$C$105,MATCH($A23,'AVALIAÇÃO MAPA'!$AU$6:$AU$105,0)))</f>
        <v/>
      </c>
      <c r="E23" s="35" t="str">
        <f aca="false">IF($A23="","",INDEX('AVALIAÇÃO MAPA'!$AN$6:$AN$105,MATCH($A23,'AVALIAÇÃO MAPA'!$AU$6:$AU$105,0)))</f>
        <v/>
      </c>
      <c r="F23" s="29" t="str">
        <f aca="false">IF($A23="","",INDEX('AVALIAÇÃO MAPA'!$AJ$6:$AJ$105,MATCH($A23,'AVALIAÇÃO MAPA'!$AU$6:$AU$105,0)))</f>
        <v/>
      </c>
      <c r="G23" s="29" t="str">
        <f aca="false">IF($A23="","",INDEX('AVALIAÇÃO MAPA'!$AM$6:$AM$105,MATCH($A23,'AVALIAÇÃO MAPA'!$AU$6:$AU$105,0)))</f>
        <v/>
      </c>
      <c r="H23" s="15" t="str">
        <f aca="false">IF($A23="","",INDEX('AVALIAÇÃO MAPA'!$AS$6:$AS$105,MATCH($A23,'AVALIAÇÃO MAPA'!$AU$6:$AU$105,0)))</f>
        <v/>
      </c>
      <c r="I23" s="15" t="str">
        <f aca="false">IF($A23="","",INDEX('AVALIAÇÃO MAPA'!$AP$6:$AP$105,MATCH($A23,'AVALIAÇÃO MAPA'!$AU$6:$AU$105,0)))</f>
        <v/>
      </c>
      <c r="J23" s="15" t="str">
        <f aca="false">IF($A23="","",INDEX('AVALIAÇÃO MAPA'!$AQ$6:$AQ$105,MATCH($A23,'AVALIAÇÃO MAPA'!$AU$6:$AU$105,0)))</f>
        <v/>
      </c>
      <c r="K23" s="15" t="str">
        <f aca="false">IF($A23="","",INDEX('AVALIAÇÃO MAPA'!$AR$6:$AR$105,MATCH($A23,'AVALIAÇÃO MAPA'!$AU$6:$AU$105,0)))</f>
        <v/>
      </c>
      <c r="L23" s="15" t="str">
        <f aca="false">IF($A23="","",INDEX('AVALIAÇÃO MAPA'!$AT$6:$AT$105,MATCH($A23,'AVALIAÇÃO MAPA'!$AU$6:$AU$105,0)))</f>
        <v/>
      </c>
      <c r="M23" s="15" t="str">
        <f aca="false">IF($A23="","",INDEX('AVALIAÇÃO MAPA'!$AW$6:$AW$105,MATCH($A23,'AVALIAÇÃO MAPA'!$AU$6:$AU$105,0)))</f>
        <v/>
      </c>
      <c r="N23" s="27" t="str">
        <f aca="false">IF($A23="","",INDEX('AVALIAÇÃO MAPA'!$BB$6:$BB$105,MATCH($A23,'AVALIAÇÃO MAPA'!$AU$6:$AU$105,0)))</f>
        <v/>
      </c>
      <c r="W23" s="32" t="n">
        <v>18</v>
      </c>
      <c r="X23" s="32" t="n">
        <f aca="false">IF(AND('AVALIAÇÃO MAPA'!AN23&lt;&gt;"",'AVALIAÇÃO MAPA'!D23=1),'AVALIAÇÃO MAPA'!AM23,-1)</f>
        <v>-1</v>
      </c>
      <c r="Y23" s="32" t="n">
        <f aca="false">IF(AND('AVALIAÇÃO MAPA'!AN23&lt;&gt;"",'AVALIAÇÃO MAPA'!D23=1),'AVALIAÇÃO MAPA'!AJ23,-1)</f>
        <v>-1</v>
      </c>
      <c r="Z23" s="32" t="str">
        <f aca="false">'AVALIAÇÃO MAPA'!AS23</f>
        <v/>
      </c>
      <c r="AA23" s="32" t="str">
        <f aca="false">'AVALIAÇÃO MAPA'!AP23</f>
        <v/>
      </c>
      <c r="AB23" s="32" t="n">
        <f aca="false">IF(Z23="Fazer primeiro",Y23,-1)</f>
        <v>-1</v>
      </c>
      <c r="AC23" s="32" t="n">
        <f aca="false">IF(Z23="Projeto estratégico",Y23,-1)</f>
        <v>-1</v>
      </c>
      <c r="AD23" s="32" t="n">
        <f aca="false">IF(Z23="Quick win",Y23,-1)</f>
        <v>-1</v>
      </c>
      <c r="AE23" s="32" t="n">
        <f aca="false">IF(Z23="Evitar",Y23,-1)</f>
        <v>-1</v>
      </c>
      <c r="AF23" s="32" t="n">
        <f aca="false">IF(AA23="SIM",Y23,-1)</f>
        <v>-1</v>
      </c>
    </row>
    <row r="24" customFormat="false" ht="15" hidden="false" customHeight="false" outlineLevel="0" collapsed="false">
      <c r="A24" s="15" t="str">
        <f aca="false">IF(COUNT('AVALIAÇÃO MAPA'!$AU$6:$AU$105)&gt;=19,19,"")</f>
        <v/>
      </c>
      <c r="B24" s="15" t="str">
        <f aca="false">IF($A24="","",INDEX('AVALIAÇÃO MAPA'!$A$6:$A$105,MATCH($A24,'AVALIAÇÃO MAPA'!$AU$6:$AU$105,0)))</f>
        <v/>
      </c>
      <c r="C24" s="18" t="str">
        <f aca="false">IF($A24="","",INDEX('AVALIAÇÃO MAPA'!$B$6:$B$105,MATCH($A24,'AVALIAÇÃO MAPA'!$AU$6:$AU$105,0)))</f>
        <v/>
      </c>
      <c r="D24" s="15" t="str">
        <f aca="false">IF($A24="","",INDEX('AVALIAÇÃO MAPA'!$C$6:$C$105,MATCH($A24,'AVALIAÇÃO MAPA'!$AU$6:$AU$105,0)))</f>
        <v/>
      </c>
      <c r="E24" s="35" t="str">
        <f aca="false">IF($A24="","",INDEX('AVALIAÇÃO MAPA'!$AN$6:$AN$105,MATCH($A24,'AVALIAÇÃO MAPA'!$AU$6:$AU$105,0)))</f>
        <v/>
      </c>
      <c r="F24" s="29" t="str">
        <f aca="false">IF($A24="","",INDEX('AVALIAÇÃO MAPA'!$AJ$6:$AJ$105,MATCH($A24,'AVALIAÇÃO MAPA'!$AU$6:$AU$105,0)))</f>
        <v/>
      </c>
      <c r="G24" s="29" t="str">
        <f aca="false">IF($A24="","",INDEX('AVALIAÇÃO MAPA'!$AM$6:$AM$105,MATCH($A24,'AVALIAÇÃO MAPA'!$AU$6:$AU$105,0)))</f>
        <v/>
      </c>
      <c r="H24" s="15" t="str">
        <f aca="false">IF($A24="","",INDEX('AVALIAÇÃO MAPA'!$AS$6:$AS$105,MATCH($A24,'AVALIAÇÃO MAPA'!$AU$6:$AU$105,0)))</f>
        <v/>
      </c>
      <c r="I24" s="15" t="str">
        <f aca="false">IF($A24="","",INDEX('AVALIAÇÃO MAPA'!$AP$6:$AP$105,MATCH($A24,'AVALIAÇÃO MAPA'!$AU$6:$AU$105,0)))</f>
        <v/>
      </c>
      <c r="J24" s="15" t="str">
        <f aca="false">IF($A24="","",INDEX('AVALIAÇÃO MAPA'!$AQ$6:$AQ$105,MATCH($A24,'AVALIAÇÃO MAPA'!$AU$6:$AU$105,0)))</f>
        <v/>
      </c>
      <c r="K24" s="15" t="str">
        <f aca="false">IF($A24="","",INDEX('AVALIAÇÃO MAPA'!$AR$6:$AR$105,MATCH($A24,'AVALIAÇÃO MAPA'!$AU$6:$AU$105,0)))</f>
        <v/>
      </c>
      <c r="L24" s="15" t="str">
        <f aca="false">IF($A24="","",INDEX('AVALIAÇÃO MAPA'!$AT$6:$AT$105,MATCH($A24,'AVALIAÇÃO MAPA'!$AU$6:$AU$105,0)))</f>
        <v/>
      </c>
      <c r="M24" s="15" t="str">
        <f aca="false">IF($A24="","",INDEX('AVALIAÇÃO MAPA'!$AW$6:$AW$105,MATCH($A24,'AVALIAÇÃO MAPA'!$AU$6:$AU$105,0)))</f>
        <v/>
      </c>
      <c r="N24" s="27" t="str">
        <f aca="false">IF($A24="","",INDEX('AVALIAÇÃO MAPA'!$BB$6:$BB$105,MATCH($A24,'AVALIAÇÃO MAPA'!$AU$6:$AU$105,0)))</f>
        <v/>
      </c>
      <c r="W24" s="32" t="n">
        <v>19</v>
      </c>
      <c r="X24" s="32" t="n">
        <f aca="false">IF(AND('AVALIAÇÃO MAPA'!AN24&lt;&gt;"",'AVALIAÇÃO MAPA'!D24=1),'AVALIAÇÃO MAPA'!AM24,-1)</f>
        <v>-1</v>
      </c>
      <c r="Y24" s="32" t="n">
        <f aca="false">IF(AND('AVALIAÇÃO MAPA'!AN24&lt;&gt;"",'AVALIAÇÃO MAPA'!D24=1),'AVALIAÇÃO MAPA'!AJ24,-1)</f>
        <v>-1</v>
      </c>
      <c r="Z24" s="32" t="str">
        <f aca="false">'AVALIAÇÃO MAPA'!AS24</f>
        <v/>
      </c>
      <c r="AA24" s="32" t="str">
        <f aca="false">'AVALIAÇÃO MAPA'!AP24</f>
        <v/>
      </c>
      <c r="AB24" s="32" t="n">
        <f aca="false">IF(Z24="Fazer primeiro",Y24,-1)</f>
        <v>-1</v>
      </c>
      <c r="AC24" s="32" t="n">
        <f aca="false">IF(Z24="Projeto estratégico",Y24,-1)</f>
        <v>-1</v>
      </c>
      <c r="AD24" s="32" t="n">
        <f aca="false">IF(Z24="Quick win",Y24,-1)</f>
        <v>-1</v>
      </c>
      <c r="AE24" s="32" t="n">
        <f aca="false">IF(Z24="Evitar",Y24,-1)</f>
        <v>-1</v>
      </c>
      <c r="AF24" s="32" t="n">
        <f aca="false">IF(AA24="SIM",Y24,-1)</f>
        <v>-1</v>
      </c>
    </row>
    <row r="25" customFormat="false" ht="15" hidden="false" customHeight="false" outlineLevel="0" collapsed="false">
      <c r="A25" s="15" t="str">
        <f aca="false">IF(COUNT('AVALIAÇÃO MAPA'!$AU$6:$AU$105)&gt;=20,20,"")</f>
        <v/>
      </c>
      <c r="B25" s="15" t="str">
        <f aca="false">IF($A25="","",INDEX('AVALIAÇÃO MAPA'!$A$6:$A$105,MATCH($A25,'AVALIAÇÃO MAPA'!$AU$6:$AU$105,0)))</f>
        <v/>
      </c>
      <c r="C25" s="18" t="str">
        <f aca="false">IF($A25="","",INDEX('AVALIAÇÃO MAPA'!$B$6:$B$105,MATCH($A25,'AVALIAÇÃO MAPA'!$AU$6:$AU$105,0)))</f>
        <v/>
      </c>
      <c r="D25" s="15" t="str">
        <f aca="false">IF($A25="","",INDEX('AVALIAÇÃO MAPA'!$C$6:$C$105,MATCH($A25,'AVALIAÇÃO MAPA'!$AU$6:$AU$105,0)))</f>
        <v/>
      </c>
      <c r="E25" s="35" t="str">
        <f aca="false">IF($A25="","",INDEX('AVALIAÇÃO MAPA'!$AN$6:$AN$105,MATCH($A25,'AVALIAÇÃO MAPA'!$AU$6:$AU$105,0)))</f>
        <v/>
      </c>
      <c r="F25" s="29" t="str">
        <f aca="false">IF($A25="","",INDEX('AVALIAÇÃO MAPA'!$AJ$6:$AJ$105,MATCH($A25,'AVALIAÇÃO MAPA'!$AU$6:$AU$105,0)))</f>
        <v/>
      </c>
      <c r="G25" s="29" t="str">
        <f aca="false">IF($A25="","",INDEX('AVALIAÇÃO MAPA'!$AM$6:$AM$105,MATCH($A25,'AVALIAÇÃO MAPA'!$AU$6:$AU$105,0)))</f>
        <v/>
      </c>
      <c r="H25" s="15" t="str">
        <f aca="false">IF($A25="","",INDEX('AVALIAÇÃO MAPA'!$AS$6:$AS$105,MATCH($A25,'AVALIAÇÃO MAPA'!$AU$6:$AU$105,0)))</f>
        <v/>
      </c>
      <c r="I25" s="15" t="str">
        <f aca="false">IF($A25="","",INDEX('AVALIAÇÃO MAPA'!$AP$6:$AP$105,MATCH($A25,'AVALIAÇÃO MAPA'!$AU$6:$AU$105,0)))</f>
        <v/>
      </c>
      <c r="J25" s="15" t="str">
        <f aca="false">IF($A25="","",INDEX('AVALIAÇÃO MAPA'!$AQ$6:$AQ$105,MATCH($A25,'AVALIAÇÃO MAPA'!$AU$6:$AU$105,0)))</f>
        <v/>
      </c>
      <c r="K25" s="15" t="str">
        <f aca="false">IF($A25="","",INDEX('AVALIAÇÃO MAPA'!$AR$6:$AR$105,MATCH($A25,'AVALIAÇÃO MAPA'!$AU$6:$AU$105,0)))</f>
        <v/>
      </c>
      <c r="L25" s="15" t="str">
        <f aca="false">IF($A25="","",INDEX('AVALIAÇÃO MAPA'!$AT$6:$AT$105,MATCH($A25,'AVALIAÇÃO MAPA'!$AU$6:$AU$105,0)))</f>
        <v/>
      </c>
      <c r="M25" s="15" t="str">
        <f aca="false">IF($A25="","",INDEX('AVALIAÇÃO MAPA'!$AW$6:$AW$105,MATCH($A25,'AVALIAÇÃO MAPA'!$AU$6:$AU$105,0)))</f>
        <v/>
      </c>
      <c r="N25" s="27" t="str">
        <f aca="false">IF($A25="","",INDEX('AVALIAÇÃO MAPA'!$BB$6:$BB$105,MATCH($A25,'AVALIAÇÃO MAPA'!$AU$6:$AU$105,0)))</f>
        <v/>
      </c>
      <c r="W25" s="32" t="n">
        <v>20</v>
      </c>
      <c r="X25" s="32" t="n">
        <f aca="false">IF(AND('AVALIAÇÃO MAPA'!AN25&lt;&gt;"",'AVALIAÇÃO MAPA'!D25=1),'AVALIAÇÃO MAPA'!AM25,-1)</f>
        <v>-1</v>
      </c>
      <c r="Y25" s="32" t="n">
        <f aca="false">IF(AND('AVALIAÇÃO MAPA'!AN25&lt;&gt;"",'AVALIAÇÃO MAPA'!D25=1),'AVALIAÇÃO MAPA'!AJ25,-1)</f>
        <v>-1</v>
      </c>
      <c r="Z25" s="32" t="str">
        <f aca="false">'AVALIAÇÃO MAPA'!AS25</f>
        <v/>
      </c>
      <c r="AA25" s="32" t="str">
        <f aca="false">'AVALIAÇÃO MAPA'!AP25</f>
        <v/>
      </c>
      <c r="AB25" s="32" t="n">
        <f aca="false">IF(Z25="Fazer primeiro",Y25,-1)</f>
        <v>-1</v>
      </c>
      <c r="AC25" s="32" t="n">
        <f aca="false">IF(Z25="Projeto estratégico",Y25,-1)</f>
        <v>-1</v>
      </c>
      <c r="AD25" s="32" t="n">
        <f aca="false">IF(Z25="Quick win",Y25,-1)</f>
        <v>-1</v>
      </c>
      <c r="AE25" s="32" t="n">
        <f aca="false">IF(Z25="Evitar",Y25,-1)</f>
        <v>-1</v>
      </c>
      <c r="AF25" s="32" t="n">
        <f aca="false">IF(AA25="SIM",Y25,-1)</f>
        <v>-1</v>
      </c>
    </row>
    <row r="26" customFormat="false" ht="15" hidden="false" customHeight="false" outlineLevel="0" collapsed="false">
      <c r="A26" s="15" t="str">
        <f aca="false">IF(COUNT('AVALIAÇÃO MAPA'!$AU$6:$AU$105)&gt;=21,21,"")</f>
        <v/>
      </c>
      <c r="B26" s="15" t="str">
        <f aca="false">IF($A26="","",INDEX('AVALIAÇÃO MAPA'!$A$6:$A$105,MATCH($A26,'AVALIAÇÃO MAPA'!$AU$6:$AU$105,0)))</f>
        <v/>
      </c>
      <c r="C26" s="18" t="str">
        <f aca="false">IF($A26="","",INDEX('AVALIAÇÃO MAPA'!$B$6:$B$105,MATCH($A26,'AVALIAÇÃO MAPA'!$AU$6:$AU$105,0)))</f>
        <v/>
      </c>
      <c r="D26" s="15" t="str">
        <f aca="false">IF($A26="","",INDEX('AVALIAÇÃO MAPA'!$C$6:$C$105,MATCH($A26,'AVALIAÇÃO MAPA'!$AU$6:$AU$105,0)))</f>
        <v/>
      </c>
      <c r="E26" s="35" t="str">
        <f aca="false">IF($A26="","",INDEX('AVALIAÇÃO MAPA'!$AN$6:$AN$105,MATCH($A26,'AVALIAÇÃO MAPA'!$AU$6:$AU$105,0)))</f>
        <v/>
      </c>
      <c r="F26" s="29" t="str">
        <f aca="false">IF($A26="","",INDEX('AVALIAÇÃO MAPA'!$AJ$6:$AJ$105,MATCH($A26,'AVALIAÇÃO MAPA'!$AU$6:$AU$105,0)))</f>
        <v/>
      </c>
      <c r="G26" s="29" t="str">
        <f aca="false">IF($A26="","",INDEX('AVALIAÇÃO MAPA'!$AM$6:$AM$105,MATCH($A26,'AVALIAÇÃO MAPA'!$AU$6:$AU$105,0)))</f>
        <v/>
      </c>
      <c r="H26" s="15" t="str">
        <f aca="false">IF($A26="","",INDEX('AVALIAÇÃO MAPA'!$AS$6:$AS$105,MATCH($A26,'AVALIAÇÃO MAPA'!$AU$6:$AU$105,0)))</f>
        <v/>
      </c>
      <c r="I26" s="15" t="str">
        <f aca="false">IF($A26="","",INDEX('AVALIAÇÃO MAPA'!$AP$6:$AP$105,MATCH($A26,'AVALIAÇÃO MAPA'!$AU$6:$AU$105,0)))</f>
        <v/>
      </c>
      <c r="J26" s="15" t="str">
        <f aca="false">IF($A26="","",INDEX('AVALIAÇÃO MAPA'!$AQ$6:$AQ$105,MATCH($A26,'AVALIAÇÃO MAPA'!$AU$6:$AU$105,0)))</f>
        <v/>
      </c>
      <c r="K26" s="15" t="str">
        <f aca="false">IF($A26="","",INDEX('AVALIAÇÃO MAPA'!$AR$6:$AR$105,MATCH($A26,'AVALIAÇÃO MAPA'!$AU$6:$AU$105,0)))</f>
        <v/>
      </c>
      <c r="L26" s="15" t="str">
        <f aca="false">IF($A26="","",INDEX('AVALIAÇÃO MAPA'!$AT$6:$AT$105,MATCH($A26,'AVALIAÇÃO MAPA'!$AU$6:$AU$105,0)))</f>
        <v/>
      </c>
      <c r="M26" s="15" t="str">
        <f aca="false">IF($A26="","",INDEX('AVALIAÇÃO MAPA'!$AW$6:$AW$105,MATCH($A26,'AVALIAÇÃO MAPA'!$AU$6:$AU$105,0)))</f>
        <v/>
      </c>
      <c r="N26" s="27" t="str">
        <f aca="false">IF($A26="","",INDEX('AVALIAÇÃO MAPA'!$BB$6:$BB$105,MATCH($A26,'AVALIAÇÃO MAPA'!$AU$6:$AU$105,0)))</f>
        <v/>
      </c>
      <c r="W26" s="32" t="n">
        <v>21</v>
      </c>
      <c r="X26" s="32" t="n">
        <f aca="false">IF(AND('AVALIAÇÃO MAPA'!AN26&lt;&gt;"",'AVALIAÇÃO MAPA'!D26=1),'AVALIAÇÃO MAPA'!AM26,-1)</f>
        <v>-1</v>
      </c>
      <c r="Y26" s="32" t="n">
        <f aca="false">IF(AND('AVALIAÇÃO MAPA'!AN26&lt;&gt;"",'AVALIAÇÃO MAPA'!D26=1),'AVALIAÇÃO MAPA'!AJ26,-1)</f>
        <v>-1</v>
      </c>
      <c r="Z26" s="32" t="str">
        <f aca="false">'AVALIAÇÃO MAPA'!AS26</f>
        <v/>
      </c>
      <c r="AA26" s="32" t="str">
        <f aca="false">'AVALIAÇÃO MAPA'!AP26</f>
        <v/>
      </c>
      <c r="AB26" s="32" t="n">
        <f aca="false">IF(Z26="Fazer primeiro",Y26,-1)</f>
        <v>-1</v>
      </c>
      <c r="AC26" s="32" t="n">
        <f aca="false">IF(Z26="Projeto estratégico",Y26,-1)</f>
        <v>-1</v>
      </c>
      <c r="AD26" s="32" t="n">
        <f aca="false">IF(Z26="Quick win",Y26,-1)</f>
        <v>-1</v>
      </c>
      <c r="AE26" s="32" t="n">
        <f aca="false">IF(Z26="Evitar",Y26,-1)</f>
        <v>-1</v>
      </c>
      <c r="AF26" s="32" t="n">
        <f aca="false">IF(AA26="SIM",Y26,-1)</f>
        <v>-1</v>
      </c>
    </row>
    <row r="27" customFormat="false" ht="15" hidden="false" customHeight="false" outlineLevel="0" collapsed="false">
      <c r="A27" s="15" t="str">
        <f aca="false">IF(COUNT('AVALIAÇÃO MAPA'!$AU$6:$AU$105)&gt;=22,22,"")</f>
        <v/>
      </c>
      <c r="B27" s="15" t="str">
        <f aca="false">IF($A27="","",INDEX('AVALIAÇÃO MAPA'!$A$6:$A$105,MATCH($A27,'AVALIAÇÃO MAPA'!$AU$6:$AU$105,0)))</f>
        <v/>
      </c>
      <c r="C27" s="18" t="str">
        <f aca="false">IF($A27="","",INDEX('AVALIAÇÃO MAPA'!$B$6:$B$105,MATCH($A27,'AVALIAÇÃO MAPA'!$AU$6:$AU$105,0)))</f>
        <v/>
      </c>
      <c r="D27" s="15" t="str">
        <f aca="false">IF($A27="","",INDEX('AVALIAÇÃO MAPA'!$C$6:$C$105,MATCH($A27,'AVALIAÇÃO MAPA'!$AU$6:$AU$105,0)))</f>
        <v/>
      </c>
      <c r="E27" s="35" t="str">
        <f aca="false">IF($A27="","",INDEX('AVALIAÇÃO MAPA'!$AN$6:$AN$105,MATCH($A27,'AVALIAÇÃO MAPA'!$AU$6:$AU$105,0)))</f>
        <v/>
      </c>
      <c r="F27" s="29" t="str">
        <f aca="false">IF($A27="","",INDEX('AVALIAÇÃO MAPA'!$AJ$6:$AJ$105,MATCH($A27,'AVALIAÇÃO MAPA'!$AU$6:$AU$105,0)))</f>
        <v/>
      </c>
      <c r="G27" s="29" t="str">
        <f aca="false">IF($A27="","",INDEX('AVALIAÇÃO MAPA'!$AM$6:$AM$105,MATCH($A27,'AVALIAÇÃO MAPA'!$AU$6:$AU$105,0)))</f>
        <v/>
      </c>
      <c r="H27" s="15" t="str">
        <f aca="false">IF($A27="","",INDEX('AVALIAÇÃO MAPA'!$AS$6:$AS$105,MATCH($A27,'AVALIAÇÃO MAPA'!$AU$6:$AU$105,0)))</f>
        <v/>
      </c>
      <c r="I27" s="15" t="str">
        <f aca="false">IF($A27="","",INDEX('AVALIAÇÃO MAPA'!$AP$6:$AP$105,MATCH($A27,'AVALIAÇÃO MAPA'!$AU$6:$AU$105,0)))</f>
        <v/>
      </c>
      <c r="J27" s="15" t="str">
        <f aca="false">IF($A27="","",INDEX('AVALIAÇÃO MAPA'!$AQ$6:$AQ$105,MATCH($A27,'AVALIAÇÃO MAPA'!$AU$6:$AU$105,0)))</f>
        <v/>
      </c>
      <c r="K27" s="15" t="str">
        <f aca="false">IF($A27="","",INDEX('AVALIAÇÃO MAPA'!$AR$6:$AR$105,MATCH($A27,'AVALIAÇÃO MAPA'!$AU$6:$AU$105,0)))</f>
        <v/>
      </c>
      <c r="L27" s="15" t="str">
        <f aca="false">IF($A27="","",INDEX('AVALIAÇÃO MAPA'!$AT$6:$AT$105,MATCH($A27,'AVALIAÇÃO MAPA'!$AU$6:$AU$105,0)))</f>
        <v/>
      </c>
      <c r="M27" s="15" t="str">
        <f aca="false">IF($A27="","",INDEX('AVALIAÇÃO MAPA'!$AW$6:$AW$105,MATCH($A27,'AVALIAÇÃO MAPA'!$AU$6:$AU$105,0)))</f>
        <v/>
      </c>
      <c r="N27" s="27" t="str">
        <f aca="false">IF($A27="","",INDEX('AVALIAÇÃO MAPA'!$BB$6:$BB$105,MATCH($A27,'AVALIAÇÃO MAPA'!$AU$6:$AU$105,0)))</f>
        <v/>
      </c>
      <c r="W27" s="32" t="n">
        <v>22</v>
      </c>
      <c r="X27" s="32" t="n">
        <f aca="false">IF(AND('AVALIAÇÃO MAPA'!AN27&lt;&gt;"",'AVALIAÇÃO MAPA'!D27=1),'AVALIAÇÃO MAPA'!AM27,-1)</f>
        <v>-1</v>
      </c>
      <c r="Y27" s="32" t="n">
        <f aca="false">IF(AND('AVALIAÇÃO MAPA'!AN27&lt;&gt;"",'AVALIAÇÃO MAPA'!D27=1),'AVALIAÇÃO MAPA'!AJ27,-1)</f>
        <v>-1</v>
      </c>
      <c r="Z27" s="32" t="str">
        <f aca="false">'AVALIAÇÃO MAPA'!AS27</f>
        <v/>
      </c>
      <c r="AA27" s="32" t="str">
        <f aca="false">'AVALIAÇÃO MAPA'!AP27</f>
        <v/>
      </c>
      <c r="AB27" s="32" t="n">
        <f aca="false">IF(Z27="Fazer primeiro",Y27,-1)</f>
        <v>-1</v>
      </c>
      <c r="AC27" s="32" t="n">
        <f aca="false">IF(Z27="Projeto estratégico",Y27,-1)</f>
        <v>-1</v>
      </c>
      <c r="AD27" s="32" t="n">
        <f aca="false">IF(Z27="Quick win",Y27,-1)</f>
        <v>-1</v>
      </c>
      <c r="AE27" s="32" t="n">
        <f aca="false">IF(Z27="Evitar",Y27,-1)</f>
        <v>-1</v>
      </c>
      <c r="AF27" s="32" t="n">
        <f aca="false">IF(AA27="SIM",Y27,-1)</f>
        <v>-1</v>
      </c>
    </row>
    <row r="28" customFormat="false" ht="15" hidden="false" customHeight="false" outlineLevel="0" collapsed="false">
      <c r="A28" s="15" t="str">
        <f aca="false">IF(COUNT('AVALIAÇÃO MAPA'!$AU$6:$AU$105)&gt;=23,23,"")</f>
        <v/>
      </c>
      <c r="B28" s="15" t="str">
        <f aca="false">IF($A28="","",INDEX('AVALIAÇÃO MAPA'!$A$6:$A$105,MATCH($A28,'AVALIAÇÃO MAPA'!$AU$6:$AU$105,0)))</f>
        <v/>
      </c>
      <c r="C28" s="18" t="str">
        <f aca="false">IF($A28="","",INDEX('AVALIAÇÃO MAPA'!$B$6:$B$105,MATCH($A28,'AVALIAÇÃO MAPA'!$AU$6:$AU$105,0)))</f>
        <v/>
      </c>
      <c r="D28" s="15" t="str">
        <f aca="false">IF($A28="","",INDEX('AVALIAÇÃO MAPA'!$C$6:$C$105,MATCH($A28,'AVALIAÇÃO MAPA'!$AU$6:$AU$105,0)))</f>
        <v/>
      </c>
      <c r="E28" s="35" t="str">
        <f aca="false">IF($A28="","",INDEX('AVALIAÇÃO MAPA'!$AN$6:$AN$105,MATCH($A28,'AVALIAÇÃO MAPA'!$AU$6:$AU$105,0)))</f>
        <v/>
      </c>
      <c r="F28" s="29" t="str">
        <f aca="false">IF($A28="","",INDEX('AVALIAÇÃO MAPA'!$AJ$6:$AJ$105,MATCH($A28,'AVALIAÇÃO MAPA'!$AU$6:$AU$105,0)))</f>
        <v/>
      </c>
      <c r="G28" s="29" t="str">
        <f aca="false">IF($A28="","",INDEX('AVALIAÇÃO MAPA'!$AM$6:$AM$105,MATCH($A28,'AVALIAÇÃO MAPA'!$AU$6:$AU$105,0)))</f>
        <v/>
      </c>
      <c r="H28" s="15" t="str">
        <f aca="false">IF($A28="","",INDEX('AVALIAÇÃO MAPA'!$AS$6:$AS$105,MATCH($A28,'AVALIAÇÃO MAPA'!$AU$6:$AU$105,0)))</f>
        <v/>
      </c>
      <c r="I28" s="15" t="str">
        <f aca="false">IF($A28="","",INDEX('AVALIAÇÃO MAPA'!$AP$6:$AP$105,MATCH($A28,'AVALIAÇÃO MAPA'!$AU$6:$AU$105,0)))</f>
        <v/>
      </c>
      <c r="J28" s="15" t="str">
        <f aca="false">IF($A28="","",INDEX('AVALIAÇÃO MAPA'!$AQ$6:$AQ$105,MATCH($A28,'AVALIAÇÃO MAPA'!$AU$6:$AU$105,0)))</f>
        <v/>
      </c>
      <c r="K28" s="15" t="str">
        <f aca="false">IF($A28="","",INDEX('AVALIAÇÃO MAPA'!$AR$6:$AR$105,MATCH($A28,'AVALIAÇÃO MAPA'!$AU$6:$AU$105,0)))</f>
        <v/>
      </c>
      <c r="L28" s="15" t="str">
        <f aca="false">IF($A28="","",INDEX('AVALIAÇÃO MAPA'!$AT$6:$AT$105,MATCH($A28,'AVALIAÇÃO MAPA'!$AU$6:$AU$105,0)))</f>
        <v/>
      </c>
      <c r="M28" s="15" t="str">
        <f aca="false">IF($A28="","",INDEX('AVALIAÇÃO MAPA'!$AW$6:$AW$105,MATCH($A28,'AVALIAÇÃO MAPA'!$AU$6:$AU$105,0)))</f>
        <v/>
      </c>
      <c r="N28" s="27" t="str">
        <f aca="false">IF($A28="","",INDEX('AVALIAÇÃO MAPA'!$BB$6:$BB$105,MATCH($A28,'AVALIAÇÃO MAPA'!$AU$6:$AU$105,0)))</f>
        <v/>
      </c>
      <c r="W28" s="32" t="n">
        <v>23</v>
      </c>
      <c r="X28" s="32" t="n">
        <f aca="false">IF(AND('AVALIAÇÃO MAPA'!AN28&lt;&gt;"",'AVALIAÇÃO MAPA'!D28=1),'AVALIAÇÃO MAPA'!AM28,-1)</f>
        <v>-1</v>
      </c>
      <c r="Y28" s="32" t="n">
        <f aca="false">IF(AND('AVALIAÇÃO MAPA'!AN28&lt;&gt;"",'AVALIAÇÃO MAPA'!D28=1),'AVALIAÇÃO MAPA'!AJ28,-1)</f>
        <v>-1</v>
      </c>
      <c r="Z28" s="32" t="str">
        <f aca="false">'AVALIAÇÃO MAPA'!AS28</f>
        <v/>
      </c>
      <c r="AA28" s="32" t="str">
        <f aca="false">'AVALIAÇÃO MAPA'!AP28</f>
        <v/>
      </c>
      <c r="AB28" s="32" t="n">
        <f aca="false">IF(Z28="Fazer primeiro",Y28,-1)</f>
        <v>-1</v>
      </c>
      <c r="AC28" s="32" t="n">
        <f aca="false">IF(Z28="Projeto estratégico",Y28,-1)</f>
        <v>-1</v>
      </c>
      <c r="AD28" s="32" t="n">
        <f aca="false">IF(Z28="Quick win",Y28,-1)</f>
        <v>-1</v>
      </c>
      <c r="AE28" s="32" t="n">
        <f aca="false">IF(Z28="Evitar",Y28,-1)</f>
        <v>-1</v>
      </c>
      <c r="AF28" s="32" t="n">
        <f aca="false">IF(AA28="SIM",Y28,-1)</f>
        <v>-1</v>
      </c>
    </row>
    <row r="29" customFormat="false" ht="15" hidden="false" customHeight="false" outlineLevel="0" collapsed="false">
      <c r="A29" s="15" t="str">
        <f aca="false">IF(COUNT('AVALIAÇÃO MAPA'!$AU$6:$AU$105)&gt;=24,24,"")</f>
        <v/>
      </c>
      <c r="B29" s="15" t="str">
        <f aca="false">IF($A29="","",INDEX('AVALIAÇÃO MAPA'!$A$6:$A$105,MATCH($A29,'AVALIAÇÃO MAPA'!$AU$6:$AU$105,0)))</f>
        <v/>
      </c>
      <c r="C29" s="18" t="str">
        <f aca="false">IF($A29="","",INDEX('AVALIAÇÃO MAPA'!$B$6:$B$105,MATCH($A29,'AVALIAÇÃO MAPA'!$AU$6:$AU$105,0)))</f>
        <v/>
      </c>
      <c r="D29" s="15" t="str">
        <f aca="false">IF($A29="","",INDEX('AVALIAÇÃO MAPA'!$C$6:$C$105,MATCH($A29,'AVALIAÇÃO MAPA'!$AU$6:$AU$105,0)))</f>
        <v/>
      </c>
      <c r="E29" s="35" t="str">
        <f aca="false">IF($A29="","",INDEX('AVALIAÇÃO MAPA'!$AN$6:$AN$105,MATCH($A29,'AVALIAÇÃO MAPA'!$AU$6:$AU$105,0)))</f>
        <v/>
      </c>
      <c r="F29" s="29" t="str">
        <f aca="false">IF($A29="","",INDEX('AVALIAÇÃO MAPA'!$AJ$6:$AJ$105,MATCH($A29,'AVALIAÇÃO MAPA'!$AU$6:$AU$105,0)))</f>
        <v/>
      </c>
      <c r="G29" s="29" t="str">
        <f aca="false">IF($A29="","",INDEX('AVALIAÇÃO MAPA'!$AM$6:$AM$105,MATCH($A29,'AVALIAÇÃO MAPA'!$AU$6:$AU$105,0)))</f>
        <v/>
      </c>
      <c r="H29" s="15" t="str">
        <f aca="false">IF($A29="","",INDEX('AVALIAÇÃO MAPA'!$AS$6:$AS$105,MATCH($A29,'AVALIAÇÃO MAPA'!$AU$6:$AU$105,0)))</f>
        <v/>
      </c>
      <c r="I29" s="15" t="str">
        <f aca="false">IF($A29="","",INDEX('AVALIAÇÃO MAPA'!$AP$6:$AP$105,MATCH($A29,'AVALIAÇÃO MAPA'!$AU$6:$AU$105,0)))</f>
        <v/>
      </c>
      <c r="J29" s="15" t="str">
        <f aca="false">IF($A29="","",INDEX('AVALIAÇÃO MAPA'!$AQ$6:$AQ$105,MATCH($A29,'AVALIAÇÃO MAPA'!$AU$6:$AU$105,0)))</f>
        <v/>
      </c>
      <c r="K29" s="15" t="str">
        <f aca="false">IF($A29="","",INDEX('AVALIAÇÃO MAPA'!$AR$6:$AR$105,MATCH($A29,'AVALIAÇÃO MAPA'!$AU$6:$AU$105,0)))</f>
        <v/>
      </c>
      <c r="L29" s="15" t="str">
        <f aca="false">IF($A29="","",INDEX('AVALIAÇÃO MAPA'!$AT$6:$AT$105,MATCH($A29,'AVALIAÇÃO MAPA'!$AU$6:$AU$105,0)))</f>
        <v/>
      </c>
      <c r="M29" s="15" t="str">
        <f aca="false">IF($A29="","",INDEX('AVALIAÇÃO MAPA'!$AW$6:$AW$105,MATCH($A29,'AVALIAÇÃO MAPA'!$AU$6:$AU$105,0)))</f>
        <v/>
      </c>
      <c r="N29" s="27" t="str">
        <f aca="false">IF($A29="","",INDEX('AVALIAÇÃO MAPA'!$BB$6:$BB$105,MATCH($A29,'AVALIAÇÃO MAPA'!$AU$6:$AU$105,0)))</f>
        <v/>
      </c>
      <c r="W29" s="32" t="n">
        <v>24</v>
      </c>
      <c r="X29" s="32" t="n">
        <f aca="false">IF(AND('AVALIAÇÃO MAPA'!AN29&lt;&gt;"",'AVALIAÇÃO MAPA'!D29=1),'AVALIAÇÃO MAPA'!AM29,-1)</f>
        <v>-1</v>
      </c>
      <c r="Y29" s="32" t="n">
        <f aca="false">IF(AND('AVALIAÇÃO MAPA'!AN29&lt;&gt;"",'AVALIAÇÃO MAPA'!D29=1),'AVALIAÇÃO MAPA'!AJ29,-1)</f>
        <v>-1</v>
      </c>
      <c r="Z29" s="32" t="str">
        <f aca="false">'AVALIAÇÃO MAPA'!AS29</f>
        <v/>
      </c>
      <c r="AA29" s="32" t="str">
        <f aca="false">'AVALIAÇÃO MAPA'!AP29</f>
        <v/>
      </c>
      <c r="AB29" s="32" t="n">
        <f aca="false">IF(Z29="Fazer primeiro",Y29,-1)</f>
        <v>-1</v>
      </c>
      <c r="AC29" s="32" t="n">
        <f aca="false">IF(Z29="Projeto estratégico",Y29,-1)</f>
        <v>-1</v>
      </c>
      <c r="AD29" s="32" t="n">
        <f aca="false">IF(Z29="Quick win",Y29,-1)</f>
        <v>-1</v>
      </c>
      <c r="AE29" s="32" t="n">
        <f aca="false">IF(Z29="Evitar",Y29,-1)</f>
        <v>-1</v>
      </c>
      <c r="AF29" s="32" t="n">
        <f aca="false">IF(AA29="SIM",Y29,-1)</f>
        <v>-1</v>
      </c>
    </row>
    <row r="30" customFormat="false" ht="15" hidden="false" customHeight="false" outlineLevel="0" collapsed="false">
      <c r="A30" s="15" t="str">
        <f aca="false">IF(COUNT('AVALIAÇÃO MAPA'!$AU$6:$AU$105)&gt;=25,25,"")</f>
        <v/>
      </c>
      <c r="B30" s="15" t="str">
        <f aca="false">IF($A30="","",INDEX('AVALIAÇÃO MAPA'!$A$6:$A$105,MATCH($A30,'AVALIAÇÃO MAPA'!$AU$6:$AU$105,0)))</f>
        <v/>
      </c>
      <c r="C30" s="18" t="str">
        <f aca="false">IF($A30="","",INDEX('AVALIAÇÃO MAPA'!$B$6:$B$105,MATCH($A30,'AVALIAÇÃO MAPA'!$AU$6:$AU$105,0)))</f>
        <v/>
      </c>
      <c r="D30" s="15" t="str">
        <f aca="false">IF($A30="","",INDEX('AVALIAÇÃO MAPA'!$C$6:$C$105,MATCH($A30,'AVALIAÇÃO MAPA'!$AU$6:$AU$105,0)))</f>
        <v/>
      </c>
      <c r="E30" s="35" t="str">
        <f aca="false">IF($A30="","",INDEX('AVALIAÇÃO MAPA'!$AN$6:$AN$105,MATCH($A30,'AVALIAÇÃO MAPA'!$AU$6:$AU$105,0)))</f>
        <v/>
      </c>
      <c r="F30" s="29" t="str">
        <f aca="false">IF($A30="","",INDEX('AVALIAÇÃO MAPA'!$AJ$6:$AJ$105,MATCH($A30,'AVALIAÇÃO MAPA'!$AU$6:$AU$105,0)))</f>
        <v/>
      </c>
      <c r="G30" s="29" t="str">
        <f aca="false">IF($A30="","",INDEX('AVALIAÇÃO MAPA'!$AM$6:$AM$105,MATCH($A30,'AVALIAÇÃO MAPA'!$AU$6:$AU$105,0)))</f>
        <v/>
      </c>
      <c r="H30" s="15" t="str">
        <f aca="false">IF($A30="","",INDEX('AVALIAÇÃO MAPA'!$AS$6:$AS$105,MATCH($A30,'AVALIAÇÃO MAPA'!$AU$6:$AU$105,0)))</f>
        <v/>
      </c>
      <c r="I30" s="15" t="str">
        <f aca="false">IF($A30="","",INDEX('AVALIAÇÃO MAPA'!$AP$6:$AP$105,MATCH($A30,'AVALIAÇÃO MAPA'!$AU$6:$AU$105,0)))</f>
        <v/>
      </c>
      <c r="J30" s="15" t="str">
        <f aca="false">IF($A30="","",INDEX('AVALIAÇÃO MAPA'!$AQ$6:$AQ$105,MATCH($A30,'AVALIAÇÃO MAPA'!$AU$6:$AU$105,0)))</f>
        <v/>
      </c>
      <c r="K30" s="15" t="str">
        <f aca="false">IF($A30="","",INDEX('AVALIAÇÃO MAPA'!$AR$6:$AR$105,MATCH($A30,'AVALIAÇÃO MAPA'!$AU$6:$AU$105,0)))</f>
        <v/>
      </c>
      <c r="L30" s="15" t="str">
        <f aca="false">IF($A30="","",INDEX('AVALIAÇÃO MAPA'!$AT$6:$AT$105,MATCH($A30,'AVALIAÇÃO MAPA'!$AU$6:$AU$105,0)))</f>
        <v/>
      </c>
      <c r="M30" s="15" t="str">
        <f aca="false">IF($A30="","",INDEX('AVALIAÇÃO MAPA'!$AW$6:$AW$105,MATCH($A30,'AVALIAÇÃO MAPA'!$AU$6:$AU$105,0)))</f>
        <v/>
      </c>
      <c r="N30" s="27" t="str">
        <f aca="false">IF($A30="","",INDEX('AVALIAÇÃO MAPA'!$BB$6:$BB$105,MATCH($A30,'AVALIAÇÃO MAPA'!$AU$6:$AU$105,0)))</f>
        <v/>
      </c>
      <c r="W30" s="32" t="n">
        <v>25</v>
      </c>
      <c r="X30" s="32" t="n">
        <f aca="false">IF(AND('AVALIAÇÃO MAPA'!AN30&lt;&gt;"",'AVALIAÇÃO MAPA'!D30=1),'AVALIAÇÃO MAPA'!AM30,-1)</f>
        <v>-1</v>
      </c>
      <c r="Y30" s="32" t="n">
        <f aca="false">IF(AND('AVALIAÇÃO MAPA'!AN30&lt;&gt;"",'AVALIAÇÃO MAPA'!D30=1),'AVALIAÇÃO MAPA'!AJ30,-1)</f>
        <v>-1</v>
      </c>
      <c r="Z30" s="32" t="str">
        <f aca="false">'AVALIAÇÃO MAPA'!AS30</f>
        <v/>
      </c>
      <c r="AA30" s="32" t="str">
        <f aca="false">'AVALIAÇÃO MAPA'!AP30</f>
        <v/>
      </c>
      <c r="AB30" s="32" t="n">
        <f aca="false">IF(Z30="Fazer primeiro",Y30,-1)</f>
        <v>-1</v>
      </c>
      <c r="AC30" s="32" t="n">
        <f aca="false">IF(Z30="Projeto estratégico",Y30,-1)</f>
        <v>-1</v>
      </c>
      <c r="AD30" s="32" t="n">
        <f aca="false">IF(Z30="Quick win",Y30,-1)</f>
        <v>-1</v>
      </c>
      <c r="AE30" s="32" t="n">
        <f aca="false">IF(Z30="Evitar",Y30,-1)</f>
        <v>-1</v>
      </c>
      <c r="AF30" s="32" t="n">
        <f aca="false">IF(AA30="SIM",Y30,-1)</f>
        <v>-1</v>
      </c>
    </row>
    <row r="31" customFormat="false" ht="15" hidden="false" customHeight="false" outlineLevel="0" collapsed="false">
      <c r="A31" s="15" t="str">
        <f aca="false">IF(COUNT('AVALIAÇÃO MAPA'!$AU$6:$AU$105)&gt;=26,26,"")</f>
        <v/>
      </c>
      <c r="B31" s="15" t="str">
        <f aca="false">IF($A31="","",INDEX('AVALIAÇÃO MAPA'!$A$6:$A$105,MATCH($A31,'AVALIAÇÃO MAPA'!$AU$6:$AU$105,0)))</f>
        <v/>
      </c>
      <c r="C31" s="18" t="str">
        <f aca="false">IF($A31="","",INDEX('AVALIAÇÃO MAPA'!$B$6:$B$105,MATCH($A31,'AVALIAÇÃO MAPA'!$AU$6:$AU$105,0)))</f>
        <v/>
      </c>
      <c r="D31" s="15" t="str">
        <f aca="false">IF($A31="","",INDEX('AVALIAÇÃO MAPA'!$C$6:$C$105,MATCH($A31,'AVALIAÇÃO MAPA'!$AU$6:$AU$105,0)))</f>
        <v/>
      </c>
      <c r="E31" s="35" t="str">
        <f aca="false">IF($A31="","",INDEX('AVALIAÇÃO MAPA'!$AN$6:$AN$105,MATCH($A31,'AVALIAÇÃO MAPA'!$AU$6:$AU$105,0)))</f>
        <v/>
      </c>
      <c r="F31" s="29" t="str">
        <f aca="false">IF($A31="","",INDEX('AVALIAÇÃO MAPA'!$AJ$6:$AJ$105,MATCH($A31,'AVALIAÇÃO MAPA'!$AU$6:$AU$105,0)))</f>
        <v/>
      </c>
      <c r="G31" s="29" t="str">
        <f aca="false">IF($A31="","",INDEX('AVALIAÇÃO MAPA'!$AM$6:$AM$105,MATCH($A31,'AVALIAÇÃO MAPA'!$AU$6:$AU$105,0)))</f>
        <v/>
      </c>
      <c r="H31" s="15" t="str">
        <f aca="false">IF($A31="","",INDEX('AVALIAÇÃO MAPA'!$AS$6:$AS$105,MATCH($A31,'AVALIAÇÃO MAPA'!$AU$6:$AU$105,0)))</f>
        <v/>
      </c>
      <c r="I31" s="15" t="str">
        <f aca="false">IF($A31="","",INDEX('AVALIAÇÃO MAPA'!$AP$6:$AP$105,MATCH($A31,'AVALIAÇÃO MAPA'!$AU$6:$AU$105,0)))</f>
        <v/>
      </c>
      <c r="J31" s="15" t="str">
        <f aca="false">IF($A31="","",INDEX('AVALIAÇÃO MAPA'!$AQ$6:$AQ$105,MATCH($A31,'AVALIAÇÃO MAPA'!$AU$6:$AU$105,0)))</f>
        <v/>
      </c>
      <c r="K31" s="15" t="str">
        <f aca="false">IF($A31="","",INDEX('AVALIAÇÃO MAPA'!$AR$6:$AR$105,MATCH($A31,'AVALIAÇÃO MAPA'!$AU$6:$AU$105,0)))</f>
        <v/>
      </c>
      <c r="L31" s="15" t="str">
        <f aca="false">IF($A31="","",INDEX('AVALIAÇÃO MAPA'!$AT$6:$AT$105,MATCH($A31,'AVALIAÇÃO MAPA'!$AU$6:$AU$105,0)))</f>
        <v/>
      </c>
      <c r="M31" s="15" t="str">
        <f aca="false">IF($A31="","",INDEX('AVALIAÇÃO MAPA'!$AW$6:$AW$105,MATCH($A31,'AVALIAÇÃO MAPA'!$AU$6:$AU$105,0)))</f>
        <v/>
      </c>
      <c r="N31" s="27" t="str">
        <f aca="false">IF($A31="","",INDEX('AVALIAÇÃO MAPA'!$BB$6:$BB$105,MATCH($A31,'AVALIAÇÃO MAPA'!$AU$6:$AU$105,0)))</f>
        <v/>
      </c>
      <c r="W31" s="32" t="n">
        <v>26</v>
      </c>
      <c r="X31" s="32" t="n">
        <f aca="false">IF(AND('AVALIAÇÃO MAPA'!AN31&lt;&gt;"",'AVALIAÇÃO MAPA'!D31=1),'AVALIAÇÃO MAPA'!AM31,-1)</f>
        <v>-1</v>
      </c>
      <c r="Y31" s="32" t="n">
        <f aca="false">IF(AND('AVALIAÇÃO MAPA'!AN31&lt;&gt;"",'AVALIAÇÃO MAPA'!D31=1),'AVALIAÇÃO MAPA'!AJ31,-1)</f>
        <v>-1</v>
      </c>
      <c r="Z31" s="32" t="str">
        <f aca="false">'AVALIAÇÃO MAPA'!AS31</f>
        <v/>
      </c>
      <c r="AA31" s="32" t="str">
        <f aca="false">'AVALIAÇÃO MAPA'!AP31</f>
        <v/>
      </c>
      <c r="AB31" s="32" t="n">
        <f aca="false">IF(Z31="Fazer primeiro",Y31,-1)</f>
        <v>-1</v>
      </c>
      <c r="AC31" s="32" t="n">
        <f aca="false">IF(Z31="Projeto estratégico",Y31,-1)</f>
        <v>-1</v>
      </c>
      <c r="AD31" s="32" t="n">
        <f aca="false">IF(Z31="Quick win",Y31,-1)</f>
        <v>-1</v>
      </c>
      <c r="AE31" s="32" t="n">
        <f aca="false">IF(Z31="Evitar",Y31,-1)</f>
        <v>-1</v>
      </c>
      <c r="AF31" s="32" t="n">
        <f aca="false">IF(AA31="SIM",Y31,-1)</f>
        <v>-1</v>
      </c>
    </row>
    <row r="32" customFormat="false" ht="15" hidden="false" customHeight="false" outlineLevel="0" collapsed="false">
      <c r="A32" s="15" t="str">
        <f aca="false">IF(COUNT('AVALIAÇÃO MAPA'!$AU$6:$AU$105)&gt;=27,27,"")</f>
        <v/>
      </c>
      <c r="B32" s="15" t="str">
        <f aca="false">IF($A32="","",INDEX('AVALIAÇÃO MAPA'!$A$6:$A$105,MATCH($A32,'AVALIAÇÃO MAPA'!$AU$6:$AU$105,0)))</f>
        <v/>
      </c>
      <c r="C32" s="18" t="str">
        <f aca="false">IF($A32="","",INDEX('AVALIAÇÃO MAPA'!$B$6:$B$105,MATCH($A32,'AVALIAÇÃO MAPA'!$AU$6:$AU$105,0)))</f>
        <v/>
      </c>
      <c r="D32" s="15" t="str">
        <f aca="false">IF($A32="","",INDEX('AVALIAÇÃO MAPA'!$C$6:$C$105,MATCH($A32,'AVALIAÇÃO MAPA'!$AU$6:$AU$105,0)))</f>
        <v/>
      </c>
      <c r="E32" s="35" t="str">
        <f aca="false">IF($A32="","",INDEX('AVALIAÇÃO MAPA'!$AN$6:$AN$105,MATCH($A32,'AVALIAÇÃO MAPA'!$AU$6:$AU$105,0)))</f>
        <v/>
      </c>
      <c r="F32" s="29" t="str">
        <f aca="false">IF($A32="","",INDEX('AVALIAÇÃO MAPA'!$AJ$6:$AJ$105,MATCH($A32,'AVALIAÇÃO MAPA'!$AU$6:$AU$105,0)))</f>
        <v/>
      </c>
      <c r="G32" s="29" t="str">
        <f aca="false">IF($A32="","",INDEX('AVALIAÇÃO MAPA'!$AM$6:$AM$105,MATCH($A32,'AVALIAÇÃO MAPA'!$AU$6:$AU$105,0)))</f>
        <v/>
      </c>
      <c r="H32" s="15" t="str">
        <f aca="false">IF($A32="","",INDEX('AVALIAÇÃO MAPA'!$AS$6:$AS$105,MATCH($A32,'AVALIAÇÃO MAPA'!$AU$6:$AU$105,0)))</f>
        <v/>
      </c>
      <c r="I32" s="15" t="str">
        <f aca="false">IF($A32="","",INDEX('AVALIAÇÃO MAPA'!$AP$6:$AP$105,MATCH($A32,'AVALIAÇÃO MAPA'!$AU$6:$AU$105,0)))</f>
        <v/>
      </c>
      <c r="J32" s="15" t="str">
        <f aca="false">IF($A32="","",INDEX('AVALIAÇÃO MAPA'!$AQ$6:$AQ$105,MATCH($A32,'AVALIAÇÃO MAPA'!$AU$6:$AU$105,0)))</f>
        <v/>
      </c>
      <c r="K32" s="15" t="str">
        <f aca="false">IF($A32="","",INDEX('AVALIAÇÃO MAPA'!$AR$6:$AR$105,MATCH($A32,'AVALIAÇÃO MAPA'!$AU$6:$AU$105,0)))</f>
        <v/>
      </c>
      <c r="L32" s="15" t="str">
        <f aca="false">IF($A32="","",INDEX('AVALIAÇÃO MAPA'!$AT$6:$AT$105,MATCH($A32,'AVALIAÇÃO MAPA'!$AU$6:$AU$105,0)))</f>
        <v/>
      </c>
      <c r="M32" s="15" t="str">
        <f aca="false">IF($A32="","",INDEX('AVALIAÇÃO MAPA'!$AW$6:$AW$105,MATCH($A32,'AVALIAÇÃO MAPA'!$AU$6:$AU$105,0)))</f>
        <v/>
      </c>
      <c r="N32" s="27" t="str">
        <f aca="false">IF($A32="","",INDEX('AVALIAÇÃO MAPA'!$BB$6:$BB$105,MATCH($A32,'AVALIAÇÃO MAPA'!$AU$6:$AU$105,0)))</f>
        <v/>
      </c>
      <c r="W32" s="32" t="n">
        <v>27</v>
      </c>
      <c r="X32" s="32" t="n">
        <f aca="false">IF(AND('AVALIAÇÃO MAPA'!AN32&lt;&gt;"",'AVALIAÇÃO MAPA'!D32=1),'AVALIAÇÃO MAPA'!AM32,-1)</f>
        <v>-1</v>
      </c>
      <c r="Y32" s="32" t="n">
        <f aca="false">IF(AND('AVALIAÇÃO MAPA'!AN32&lt;&gt;"",'AVALIAÇÃO MAPA'!D32=1),'AVALIAÇÃO MAPA'!AJ32,-1)</f>
        <v>-1</v>
      </c>
      <c r="Z32" s="32" t="str">
        <f aca="false">'AVALIAÇÃO MAPA'!AS32</f>
        <v/>
      </c>
      <c r="AA32" s="32" t="str">
        <f aca="false">'AVALIAÇÃO MAPA'!AP32</f>
        <v/>
      </c>
      <c r="AB32" s="32" t="n">
        <f aca="false">IF(Z32="Fazer primeiro",Y32,-1)</f>
        <v>-1</v>
      </c>
      <c r="AC32" s="32" t="n">
        <f aca="false">IF(Z32="Projeto estratégico",Y32,-1)</f>
        <v>-1</v>
      </c>
      <c r="AD32" s="32" t="n">
        <f aca="false">IF(Z32="Quick win",Y32,-1)</f>
        <v>-1</v>
      </c>
      <c r="AE32" s="32" t="n">
        <f aca="false">IF(Z32="Evitar",Y32,-1)</f>
        <v>-1</v>
      </c>
      <c r="AF32" s="32" t="n">
        <f aca="false">IF(AA32="SIM",Y32,-1)</f>
        <v>-1</v>
      </c>
    </row>
    <row r="33" customFormat="false" ht="15" hidden="false" customHeight="false" outlineLevel="0" collapsed="false">
      <c r="A33" s="15" t="str">
        <f aca="false">IF(COUNT('AVALIAÇÃO MAPA'!$AU$6:$AU$105)&gt;=28,28,"")</f>
        <v/>
      </c>
      <c r="B33" s="15" t="str">
        <f aca="false">IF($A33="","",INDEX('AVALIAÇÃO MAPA'!$A$6:$A$105,MATCH($A33,'AVALIAÇÃO MAPA'!$AU$6:$AU$105,0)))</f>
        <v/>
      </c>
      <c r="C33" s="18" t="str">
        <f aca="false">IF($A33="","",INDEX('AVALIAÇÃO MAPA'!$B$6:$B$105,MATCH($A33,'AVALIAÇÃO MAPA'!$AU$6:$AU$105,0)))</f>
        <v/>
      </c>
      <c r="D33" s="15" t="str">
        <f aca="false">IF($A33="","",INDEX('AVALIAÇÃO MAPA'!$C$6:$C$105,MATCH($A33,'AVALIAÇÃO MAPA'!$AU$6:$AU$105,0)))</f>
        <v/>
      </c>
      <c r="E33" s="35" t="str">
        <f aca="false">IF($A33="","",INDEX('AVALIAÇÃO MAPA'!$AN$6:$AN$105,MATCH($A33,'AVALIAÇÃO MAPA'!$AU$6:$AU$105,0)))</f>
        <v/>
      </c>
      <c r="F33" s="29" t="str">
        <f aca="false">IF($A33="","",INDEX('AVALIAÇÃO MAPA'!$AJ$6:$AJ$105,MATCH($A33,'AVALIAÇÃO MAPA'!$AU$6:$AU$105,0)))</f>
        <v/>
      </c>
      <c r="G33" s="29" t="str">
        <f aca="false">IF($A33="","",INDEX('AVALIAÇÃO MAPA'!$AM$6:$AM$105,MATCH($A33,'AVALIAÇÃO MAPA'!$AU$6:$AU$105,0)))</f>
        <v/>
      </c>
      <c r="H33" s="15" t="str">
        <f aca="false">IF($A33="","",INDEX('AVALIAÇÃO MAPA'!$AS$6:$AS$105,MATCH($A33,'AVALIAÇÃO MAPA'!$AU$6:$AU$105,0)))</f>
        <v/>
      </c>
      <c r="I33" s="15" t="str">
        <f aca="false">IF($A33="","",INDEX('AVALIAÇÃO MAPA'!$AP$6:$AP$105,MATCH($A33,'AVALIAÇÃO MAPA'!$AU$6:$AU$105,0)))</f>
        <v/>
      </c>
      <c r="J33" s="15" t="str">
        <f aca="false">IF($A33="","",INDEX('AVALIAÇÃO MAPA'!$AQ$6:$AQ$105,MATCH($A33,'AVALIAÇÃO MAPA'!$AU$6:$AU$105,0)))</f>
        <v/>
      </c>
      <c r="K33" s="15" t="str">
        <f aca="false">IF($A33="","",INDEX('AVALIAÇÃO MAPA'!$AR$6:$AR$105,MATCH($A33,'AVALIAÇÃO MAPA'!$AU$6:$AU$105,0)))</f>
        <v/>
      </c>
      <c r="L33" s="15" t="str">
        <f aca="false">IF($A33="","",INDEX('AVALIAÇÃO MAPA'!$AT$6:$AT$105,MATCH($A33,'AVALIAÇÃO MAPA'!$AU$6:$AU$105,0)))</f>
        <v/>
      </c>
      <c r="M33" s="15" t="str">
        <f aca="false">IF($A33="","",INDEX('AVALIAÇÃO MAPA'!$AW$6:$AW$105,MATCH($A33,'AVALIAÇÃO MAPA'!$AU$6:$AU$105,0)))</f>
        <v/>
      </c>
      <c r="N33" s="27" t="str">
        <f aca="false">IF($A33="","",INDEX('AVALIAÇÃO MAPA'!$BB$6:$BB$105,MATCH($A33,'AVALIAÇÃO MAPA'!$AU$6:$AU$105,0)))</f>
        <v/>
      </c>
      <c r="W33" s="32" t="n">
        <v>28</v>
      </c>
      <c r="X33" s="32" t="n">
        <f aca="false">IF(AND('AVALIAÇÃO MAPA'!AN33&lt;&gt;"",'AVALIAÇÃO MAPA'!D33=1),'AVALIAÇÃO MAPA'!AM33,-1)</f>
        <v>-1</v>
      </c>
      <c r="Y33" s="32" t="n">
        <f aca="false">IF(AND('AVALIAÇÃO MAPA'!AN33&lt;&gt;"",'AVALIAÇÃO MAPA'!D33=1),'AVALIAÇÃO MAPA'!AJ33,-1)</f>
        <v>-1</v>
      </c>
      <c r="Z33" s="32" t="str">
        <f aca="false">'AVALIAÇÃO MAPA'!AS33</f>
        <v/>
      </c>
      <c r="AA33" s="32" t="str">
        <f aca="false">'AVALIAÇÃO MAPA'!AP33</f>
        <v/>
      </c>
      <c r="AB33" s="32" t="n">
        <f aca="false">IF(Z33="Fazer primeiro",Y33,-1)</f>
        <v>-1</v>
      </c>
      <c r="AC33" s="32" t="n">
        <f aca="false">IF(Z33="Projeto estratégico",Y33,-1)</f>
        <v>-1</v>
      </c>
      <c r="AD33" s="32" t="n">
        <f aca="false">IF(Z33="Quick win",Y33,-1)</f>
        <v>-1</v>
      </c>
      <c r="AE33" s="32" t="n">
        <f aca="false">IF(Z33="Evitar",Y33,-1)</f>
        <v>-1</v>
      </c>
      <c r="AF33" s="32" t="n">
        <f aca="false">IF(AA33="SIM",Y33,-1)</f>
        <v>-1</v>
      </c>
    </row>
    <row r="34" customFormat="false" ht="15" hidden="false" customHeight="false" outlineLevel="0" collapsed="false">
      <c r="A34" s="15" t="str">
        <f aca="false">IF(COUNT('AVALIAÇÃO MAPA'!$AU$6:$AU$105)&gt;=29,29,"")</f>
        <v/>
      </c>
      <c r="B34" s="15" t="str">
        <f aca="false">IF($A34="","",INDEX('AVALIAÇÃO MAPA'!$A$6:$A$105,MATCH($A34,'AVALIAÇÃO MAPA'!$AU$6:$AU$105,0)))</f>
        <v/>
      </c>
      <c r="C34" s="18" t="str">
        <f aca="false">IF($A34="","",INDEX('AVALIAÇÃO MAPA'!$B$6:$B$105,MATCH($A34,'AVALIAÇÃO MAPA'!$AU$6:$AU$105,0)))</f>
        <v/>
      </c>
      <c r="D34" s="15" t="str">
        <f aca="false">IF($A34="","",INDEX('AVALIAÇÃO MAPA'!$C$6:$C$105,MATCH($A34,'AVALIAÇÃO MAPA'!$AU$6:$AU$105,0)))</f>
        <v/>
      </c>
      <c r="E34" s="35" t="str">
        <f aca="false">IF($A34="","",INDEX('AVALIAÇÃO MAPA'!$AN$6:$AN$105,MATCH($A34,'AVALIAÇÃO MAPA'!$AU$6:$AU$105,0)))</f>
        <v/>
      </c>
      <c r="F34" s="29" t="str">
        <f aca="false">IF($A34="","",INDEX('AVALIAÇÃO MAPA'!$AJ$6:$AJ$105,MATCH($A34,'AVALIAÇÃO MAPA'!$AU$6:$AU$105,0)))</f>
        <v/>
      </c>
      <c r="G34" s="29" t="str">
        <f aca="false">IF($A34="","",INDEX('AVALIAÇÃO MAPA'!$AM$6:$AM$105,MATCH($A34,'AVALIAÇÃO MAPA'!$AU$6:$AU$105,0)))</f>
        <v/>
      </c>
      <c r="H34" s="15" t="str">
        <f aca="false">IF($A34="","",INDEX('AVALIAÇÃO MAPA'!$AS$6:$AS$105,MATCH($A34,'AVALIAÇÃO MAPA'!$AU$6:$AU$105,0)))</f>
        <v/>
      </c>
      <c r="I34" s="15" t="str">
        <f aca="false">IF($A34="","",INDEX('AVALIAÇÃO MAPA'!$AP$6:$AP$105,MATCH($A34,'AVALIAÇÃO MAPA'!$AU$6:$AU$105,0)))</f>
        <v/>
      </c>
      <c r="J34" s="15" t="str">
        <f aca="false">IF($A34="","",INDEX('AVALIAÇÃO MAPA'!$AQ$6:$AQ$105,MATCH($A34,'AVALIAÇÃO MAPA'!$AU$6:$AU$105,0)))</f>
        <v/>
      </c>
      <c r="K34" s="15" t="str">
        <f aca="false">IF($A34="","",INDEX('AVALIAÇÃO MAPA'!$AR$6:$AR$105,MATCH($A34,'AVALIAÇÃO MAPA'!$AU$6:$AU$105,0)))</f>
        <v/>
      </c>
      <c r="L34" s="15" t="str">
        <f aca="false">IF($A34="","",INDEX('AVALIAÇÃO MAPA'!$AT$6:$AT$105,MATCH($A34,'AVALIAÇÃO MAPA'!$AU$6:$AU$105,0)))</f>
        <v/>
      </c>
      <c r="M34" s="15" t="str">
        <f aca="false">IF($A34="","",INDEX('AVALIAÇÃO MAPA'!$AW$6:$AW$105,MATCH($A34,'AVALIAÇÃO MAPA'!$AU$6:$AU$105,0)))</f>
        <v/>
      </c>
      <c r="N34" s="27" t="str">
        <f aca="false">IF($A34="","",INDEX('AVALIAÇÃO MAPA'!$BB$6:$BB$105,MATCH($A34,'AVALIAÇÃO MAPA'!$AU$6:$AU$105,0)))</f>
        <v/>
      </c>
      <c r="W34" s="32" t="n">
        <v>29</v>
      </c>
      <c r="X34" s="32" t="n">
        <f aca="false">IF(AND('AVALIAÇÃO MAPA'!AN34&lt;&gt;"",'AVALIAÇÃO MAPA'!D34=1),'AVALIAÇÃO MAPA'!AM34,-1)</f>
        <v>-1</v>
      </c>
      <c r="Y34" s="32" t="n">
        <f aca="false">IF(AND('AVALIAÇÃO MAPA'!AN34&lt;&gt;"",'AVALIAÇÃO MAPA'!D34=1),'AVALIAÇÃO MAPA'!AJ34,-1)</f>
        <v>-1</v>
      </c>
      <c r="Z34" s="32" t="str">
        <f aca="false">'AVALIAÇÃO MAPA'!AS34</f>
        <v/>
      </c>
      <c r="AA34" s="32" t="str">
        <f aca="false">'AVALIAÇÃO MAPA'!AP34</f>
        <v/>
      </c>
      <c r="AB34" s="32" t="n">
        <f aca="false">IF(Z34="Fazer primeiro",Y34,-1)</f>
        <v>-1</v>
      </c>
      <c r="AC34" s="32" t="n">
        <f aca="false">IF(Z34="Projeto estratégico",Y34,-1)</f>
        <v>-1</v>
      </c>
      <c r="AD34" s="32" t="n">
        <f aca="false">IF(Z34="Quick win",Y34,-1)</f>
        <v>-1</v>
      </c>
      <c r="AE34" s="32" t="n">
        <f aca="false">IF(Z34="Evitar",Y34,-1)</f>
        <v>-1</v>
      </c>
      <c r="AF34" s="32" t="n">
        <f aca="false">IF(AA34="SIM",Y34,-1)</f>
        <v>-1</v>
      </c>
    </row>
    <row r="35" customFormat="false" ht="15" hidden="false" customHeight="false" outlineLevel="0" collapsed="false">
      <c r="A35" s="15" t="str">
        <f aca="false">IF(COUNT('AVALIAÇÃO MAPA'!$AU$6:$AU$105)&gt;=30,30,"")</f>
        <v/>
      </c>
      <c r="B35" s="15" t="str">
        <f aca="false">IF($A35="","",INDEX('AVALIAÇÃO MAPA'!$A$6:$A$105,MATCH($A35,'AVALIAÇÃO MAPA'!$AU$6:$AU$105,0)))</f>
        <v/>
      </c>
      <c r="C35" s="18" t="str">
        <f aca="false">IF($A35="","",INDEX('AVALIAÇÃO MAPA'!$B$6:$B$105,MATCH($A35,'AVALIAÇÃO MAPA'!$AU$6:$AU$105,0)))</f>
        <v/>
      </c>
      <c r="D35" s="15" t="str">
        <f aca="false">IF($A35="","",INDEX('AVALIAÇÃO MAPA'!$C$6:$C$105,MATCH($A35,'AVALIAÇÃO MAPA'!$AU$6:$AU$105,0)))</f>
        <v/>
      </c>
      <c r="E35" s="35" t="str">
        <f aca="false">IF($A35="","",INDEX('AVALIAÇÃO MAPA'!$AN$6:$AN$105,MATCH($A35,'AVALIAÇÃO MAPA'!$AU$6:$AU$105,0)))</f>
        <v/>
      </c>
      <c r="F35" s="29" t="str">
        <f aca="false">IF($A35="","",INDEX('AVALIAÇÃO MAPA'!$AJ$6:$AJ$105,MATCH($A35,'AVALIAÇÃO MAPA'!$AU$6:$AU$105,0)))</f>
        <v/>
      </c>
      <c r="G35" s="29" t="str">
        <f aca="false">IF($A35="","",INDEX('AVALIAÇÃO MAPA'!$AM$6:$AM$105,MATCH($A35,'AVALIAÇÃO MAPA'!$AU$6:$AU$105,0)))</f>
        <v/>
      </c>
      <c r="H35" s="15" t="str">
        <f aca="false">IF($A35="","",INDEX('AVALIAÇÃO MAPA'!$AS$6:$AS$105,MATCH($A35,'AVALIAÇÃO MAPA'!$AU$6:$AU$105,0)))</f>
        <v/>
      </c>
      <c r="I35" s="15" t="str">
        <f aca="false">IF($A35="","",INDEX('AVALIAÇÃO MAPA'!$AP$6:$AP$105,MATCH($A35,'AVALIAÇÃO MAPA'!$AU$6:$AU$105,0)))</f>
        <v/>
      </c>
      <c r="J35" s="15" t="str">
        <f aca="false">IF($A35="","",INDEX('AVALIAÇÃO MAPA'!$AQ$6:$AQ$105,MATCH($A35,'AVALIAÇÃO MAPA'!$AU$6:$AU$105,0)))</f>
        <v/>
      </c>
      <c r="K35" s="15" t="str">
        <f aca="false">IF($A35="","",INDEX('AVALIAÇÃO MAPA'!$AR$6:$AR$105,MATCH($A35,'AVALIAÇÃO MAPA'!$AU$6:$AU$105,0)))</f>
        <v/>
      </c>
      <c r="L35" s="15" t="str">
        <f aca="false">IF($A35="","",INDEX('AVALIAÇÃO MAPA'!$AT$6:$AT$105,MATCH($A35,'AVALIAÇÃO MAPA'!$AU$6:$AU$105,0)))</f>
        <v/>
      </c>
      <c r="M35" s="15" t="str">
        <f aca="false">IF($A35="","",INDEX('AVALIAÇÃO MAPA'!$AW$6:$AW$105,MATCH($A35,'AVALIAÇÃO MAPA'!$AU$6:$AU$105,0)))</f>
        <v/>
      </c>
      <c r="N35" s="27" t="str">
        <f aca="false">IF($A35="","",INDEX('AVALIAÇÃO MAPA'!$BB$6:$BB$105,MATCH($A35,'AVALIAÇÃO MAPA'!$AU$6:$AU$105,0)))</f>
        <v/>
      </c>
      <c r="W35" s="32" t="n">
        <v>30</v>
      </c>
      <c r="X35" s="32" t="n">
        <f aca="false">IF(AND('AVALIAÇÃO MAPA'!AN35&lt;&gt;"",'AVALIAÇÃO MAPA'!D35=1),'AVALIAÇÃO MAPA'!AM35,-1)</f>
        <v>-1</v>
      </c>
      <c r="Y35" s="32" t="n">
        <f aca="false">IF(AND('AVALIAÇÃO MAPA'!AN35&lt;&gt;"",'AVALIAÇÃO MAPA'!D35=1),'AVALIAÇÃO MAPA'!AJ35,-1)</f>
        <v>-1</v>
      </c>
      <c r="Z35" s="32" t="str">
        <f aca="false">'AVALIAÇÃO MAPA'!AS35</f>
        <v/>
      </c>
      <c r="AA35" s="32" t="str">
        <f aca="false">'AVALIAÇÃO MAPA'!AP35</f>
        <v/>
      </c>
      <c r="AB35" s="32" t="n">
        <f aca="false">IF(Z35="Fazer primeiro",Y35,-1)</f>
        <v>-1</v>
      </c>
      <c r="AC35" s="32" t="n">
        <f aca="false">IF(Z35="Projeto estratégico",Y35,-1)</f>
        <v>-1</v>
      </c>
      <c r="AD35" s="32" t="n">
        <f aca="false">IF(Z35="Quick win",Y35,-1)</f>
        <v>-1</v>
      </c>
      <c r="AE35" s="32" t="n">
        <f aca="false">IF(Z35="Evitar",Y35,-1)</f>
        <v>-1</v>
      </c>
      <c r="AF35" s="32" t="n">
        <f aca="false">IF(AA35="SIM",Y35,-1)</f>
        <v>-1</v>
      </c>
    </row>
    <row r="36" customFormat="false" ht="15" hidden="false" customHeight="false" outlineLevel="0" collapsed="false">
      <c r="A36" s="15" t="str">
        <f aca="false">IF(COUNT('AVALIAÇÃO MAPA'!$AU$6:$AU$105)&gt;=31,31,"")</f>
        <v/>
      </c>
      <c r="B36" s="15" t="str">
        <f aca="false">IF($A36="","",INDEX('AVALIAÇÃO MAPA'!$A$6:$A$105,MATCH($A36,'AVALIAÇÃO MAPA'!$AU$6:$AU$105,0)))</f>
        <v/>
      </c>
      <c r="C36" s="18" t="str">
        <f aca="false">IF($A36="","",INDEX('AVALIAÇÃO MAPA'!$B$6:$B$105,MATCH($A36,'AVALIAÇÃO MAPA'!$AU$6:$AU$105,0)))</f>
        <v/>
      </c>
      <c r="D36" s="15" t="str">
        <f aca="false">IF($A36="","",INDEX('AVALIAÇÃO MAPA'!$C$6:$C$105,MATCH($A36,'AVALIAÇÃO MAPA'!$AU$6:$AU$105,0)))</f>
        <v/>
      </c>
      <c r="E36" s="35" t="str">
        <f aca="false">IF($A36="","",INDEX('AVALIAÇÃO MAPA'!$AN$6:$AN$105,MATCH($A36,'AVALIAÇÃO MAPA'!$AU$6:$AU$105,0)))</f>
        <v/>
      </c>
      <c r="F36" s="29" t="str">
        <f aca="false">IF($A36="","",INDEX('AVALIAÇÃO MAPA'!$AJ$6:$AJ$105,MATCH($A36,'AVALIAÇÃO MAPA'!$AU$6:$AU$105,0)))</f>
        <v/>
      </c>
      <c r="G36" s="29" t="str">
        <f aca="false">IF($A36="","",INDEX('AVALIAÇÃO MAPA'!$AM$6:$AM$105,MATCH($A36,'AVALIAÇÃO MAPA'!$AU$6:$AU$105,0)))</f>
        <v/>
      </c>
      <c r="H36" s="15" t="str">
        <f aca="false">IF($A36="","",INDEX('AVALIAÇÃO MAPA'!$AS$6:$AS$105,MATCH($A36,'AVALIAÇÃO MAPA'!$AU$6:$AU$105,0)))</f>
        <v/>
      </c>
      <c r="I36" s="15" t="str">
        <f aca="false">IF($A36="","",INDEX('AVALIAÇÃO MAPA'!$AP$6:$AP$105,MATCH($A36,'AVALIAÇÃO MAPA'!$AU$6:$AU$105,0)))</f>
        <v/>
      </c>
      <c r="J36" s="15" t="str">
        <f aca="false">IF($A36="","",INDEX('AVALIAÇÃO MAPA'!$AQ$6:$AQ$105,MATCH($A36,'AVALIAÇÃO MAPA'!$AU$6:$AU$105,0)))</f>
        <v/>
      </c>
      <c r="K36" s="15" t="str">
        <f aca="false">IF($A36="","",INDEX('AVALIAÇÃO MAPA'!$AR$6:$AR$105,MATCH($A36,'AVALIAÇÃO MAPA'!$AU$6:$AU$105,0)))</f>
        <v/>
      </c>
      <c r="L36" s="15" t="str">
        <f aca="false">IF($A36="","",INDEX('AVALIAÇÃO MAPA'!$AT$6:$AT$105,MATCH($A36,'AVALIAÇÃO MAPA'!$AU$6:$AU$105,0)))</f>
        <v/>
      </c>
      <c r="M36" s="15" t="str">
        <f aca="false">IF($A36="","",INDEX('AVALIAÇÃO MAPA'!$AW$6:$AW$105,MATCH($A36,'AVALIAÇÃO MAPA'!$AU$6:$AU$105,0)))</f>
        <v/>
      </c>
      <c r="N36" s="27" t="str">
        <f aca="false">IF($A36="","",INDEX('AVALIAÇÃO MAPA'!$BB$6:$BB$105,MATCH($A36,'AVALIAÇÃO MAPA'!$AU$6:$AU$105,0)))</f>
        <v/>
      </c>
      <c r="W36" s="32" t="n">
        <v>31</v>
      </c>
      <c r="X36" s="32" t="n">
        <f aca="false">IF(AND('AVALIAÇÃO MAPA'!AN36&lt;&gt;"",'AVALIAÇÃO MAPA'!D36=1),'AVALIAÇÃO MAPA'!AM36,-1)</f>
        <v>-1</v>
      </c>
      <c r="Y36" s="32" t="n">
        <f aca="false">IF(AND('AVALIAÇÃO MAPA'!AN36&lt;&gt;"",'AVALIAÇÃO MAPA'!D36=1),'AVALIAÇÃO MAPA'!AJ36,-1)</f>
        <v>-1</v>
      </c>
      <c r="Z36" s="32" t="str">
        <f aca="false">'AVALIAÇÃO MAPA'!AS36</f>
        <v/>
      </c>
      <c r="AA36" s="32" t="str">
        <f aca="false">'AVALIAÇÃO MAPA'!AP36</f>
        <v/>
      </c>
      <c r="AB36" s="32" t="n">
        <f aca="false">IF(Z36="Fazer primeiro",Y36,-1)</f>
        <v>-1</v>
      </c>
      <c r="AC36" s="32" t="n">
        <f aca="false">IF(Z36="Projeto estratégico",Y36,-1)</f>
        <v>-1</v>
      </c>
      <c r="AD36" s="32" t="n">
        <f aca="false">IF(Z36="Quick win",Y36,-1)</f>
        <v>-1</v>
      </c>
      <c r="AE36" s="32" t="n">
        <f aca="false">IF(Z36="Evitar",Y36,-1)</f>
        <v>-1</v>
      </c>
      <c r="AF36" s="32" t="n">
        <f aca="false">IF(AA36="SIM",Y36,-1)</f>
        <v>-1</v>
      </c>
    </row>
    <row r="37" customFormat="false" ht="15" hidden="false" customHeight="false" outlineLevel="0" collapsed="false">
      <c r="A37" s="15" t="str">
        <f aca="false">IF(COUNT('AVALIAÇÃO MAPA'!$AU$6:$AU$105)&gt;=32,32,"")</f>
        <v/>
      </c>
      <c r="B37" s="15" t="str">
        <f aca="false">IF($A37="","",INDEX('AVALIAÇÃO MAPA'!$A$6:$A$105,MATCH($A37,'AVALIAÇÃO MAPA'!$AU$6:$AU$105,0)))</f>
        <v/>
      </c>
      <c r="C37" s="18" t="str">
        <f aca="false">IF($A37="","",INDEX('AVALIAÇÃO MAPA'!$B$6:$B$105,MATCH($A37,'AVALIAÇÃO MAPA'!$AU$6:$AU$105,0)))</f>
        <v/>
      </c>
      <c r="D37" s="15" t="str">
        <f aca="false">IF($A37="","",INDEX('AVALIAÇÃO MAPA'!$C$6:$C$105,MATCH($A37,'AVALIAÇÃO MAPA'!$AU$6:$AU$105,0)))</f>
        <v/>
      </c>
      <c r="E37" s="35" t="str">
        <f aca="false">IF($A37="","",INDEX('AVALIAÇÃO MAPA'!$AN$6:$AN$105,MATCH($A37,'AVALIAÇÃO MAPA'!$AU$6:$AU$105,0)))</f>
        <v/>
      </c>
      <c r="F37" s="29" t="str">
        <f aca="false">IF($A37="","",INDEX('AVALIAÇÃO MAPA'!$AJ$6:$AJ$105,MATCH($A37,'AVALIAÇÃO MAPA'!$AU$6:$AU$105,0)))</f>
        <v/>
      </c>
      <c r="G37" s="29" t="str">
        <f aca="false">IF($A37="","",INDEX('AVALIAÇÃO MAPA'!$AM$6:$AM$105,MATCH($A37,'AVALIAÇÃO MAPA'!$AU$6:$AU$105,0)))</f>
        <v/>
      </c>
      <c r="H37" s="15" t="str">
        <f aca="false">IF($A37="","",INDEX('AVALIAÇÃO MAPA'!$AS$6:$AS$105,MATCH($A37,'AVALIAÇÃO MAPA'!$AU$6:$AU$105,0)))</f>
        <v/>
      </c>
      <c r="I37" s="15" t="str">
        <f aca="false">IF($A37="","",INDEX('AVALIAÇÃO MAPA'!$AP$6:$AP$105,MATCH($A37,'AVALIAÇÃO MAPA'!$AU$6:$AU$105,0)))</f>
        <v/>
      </c>
      <c r="J37" s="15" t="str">
        <f aca="false">IF($A37="","",INDEX('AVALIAÇÃO MAPA'!$AQ$6:$AQ$105,MATCH($A37,'AVALIAÇÃO MAPA'!$AU$6:$AU$105,0)))</f>
        <v/>
      </c>
      <c r="K37" s="15" t="str">
        <f aca="false">IF($A37="","",INDEX('AVALIAÇÃO MAPA'!$AR$6:$AR$105,MATCH($A37,'AVALIAÇÃO MAPA'!$AU$6:$AU$105,0)))</f>
        <v/>
      </c>
      <c r="L37" s="15" t="str">
        <f aca="false">IF($A37="","",INDEX('AVALIAÇÃO MAPA'!$AT$6:$AT$105,MATCH($A37,'AVALIAÇÃO MAPA'!$AU$6:$AU$105,0)))</f>
        <v/>
      </c>
      <c r="M37" s="15" t="str">
        <f aca="false">IF($A37="","",INDEX('AVALIAÇÃO MAPA'!$AW$6:$AW$105,MATCH($A37,'AVALIAÇÃO MAPA'!$AU$6:$AU$105,0)))</f>
        <v/>
      </c>
      <c r="N37" s="27" t="str">
        <f aca="false">IF($A37="","",INDEX('AVALIAÇÃO MAPA'!$BB$6:$BB$105,MATCH($A37,'AVALIAÇÃO MAPA'!$AU$6:$AU$105,0)))</f>
        <v/>
      </c>
      <c r="W37" s="32" t="n">
        <v>32</v>
      </c>
      <c r="X37" s="32" t="n">
        <f aca="false">IF(AND('AVALIAÇÃO MAPA'!AN37&lt;&gt;"",'AVALIAÇÃO MAPA'!D37=1),'AVALIAÇÃO MAPA'!AM37,-1)</f>
        <v>-1</v>
      </c>
      <c r="Y37" s="32" t="n">
        <f aca="false">IF(AND('AVALIAÇÃO MAPA'!AN37&lt;&gt;"",'AVALIAÇÃO MAPA'!D37=1),'AVALIAÇÃO MAPA'!AJ37,-1)</f>
        <v>-1</v>
      </c>
      <c r="Z37" s="32" t="str">
        <f aca="false">'AVALIAÇÃO MAPA'!AS37</f>
        <v/>
      </c>
      <c r="AA37" s="32" t="str">
        <f aca="false">'AVALIAÇÃO MAPA'!AP37</f>
        <v/>
      </c>
      <c r="AB37" s="32" t="n">
        <f aca="false">IF(Z37="Fazer primeiro",Y37,-1)</f>
        <v>-1</v>
      </c>
      <c r="AC37" s="32" t="n">
        <f aca="false">IF(Z37="Projeto estratégico",Y37,-1)</f>
        <v>-1</v>
      </c>
      <c r="AD37" s="32" t="n">
        <f aca="false">IF(Z37="Quick win",Y37,-1)</f>
        <v>-1</v>
      </c>
      <c r="AE37" s="32" t="n">
        <f aca="false">IF(Z37="Evitar",Y37,-1)</f>
        <v>-1</v>
      </c>
      <c r="AF37" s="32" t="n">
        <f aca="false">IF(AA37="SIM",Y37,-1)</f>
        <v>-1</v>
      </c>
    </row>
    <row r="38" customFormat="false" ht="15" hidden="false" customHeight="false" outlineLevel="0" collapsed="false">
      <c r="A38" s="15" t="str">
        <f aca="false">IF(COUNT('AVALIAÇÃO MAPA'!$AU$6:$AU$105)&gt;=33,33,"")</f>
        <v/>
      </c>
      <c r="B38" s="15" t="str">
        <f aca="false">IF($A38="","",INDEX('AVALIAÇÃO MAPA'!$A$6:$A$105,MATCH($A38,'AVALIAÇÃO MAPA'!$AU$6:$AU$105,0)))</f>
        <v/>
      </c>
      <c r="C38" s="18" t="str">
        <f aca="false">IF($A38="","",INDEX('AVALIAÇÃO MAPA'!$B$6:$B$105,MATCH($A38,'AVALIAÇÃO MAPA'!$AU$6:$AU$105,0)))</f>
        <v/>
      </c>
      <c r="D38" s="15" t="str">
        <f aca="false">IF($A38="","",INDEX('AVALIAÇÃO MAPA'!$C$6:$C$105,MATCH($A38,'AVALIAÇÃO MAPA'!$AU$6:$AU$105,0)))</f>
        <v/>
      </c>
      <c r="E38" s="35" t="str">
        <f aca="false">IF($A38="","",INDEX('AVALIAÇÃO MAPA'!$AN$6:$AN$105,MATCH($A38,'AVALIAÇÃO MAPA'!$AU$6:$AU$105,0)))</f>
        <v/>
      </c>
      <c r="F38" s="29" t="str">
        <f aca="false">IF($A38="","",INDEX('AVALIAÇÃO MAPA'!$AJ$6:$AJ$105,MATCH($A38,'AVALIAÇÃO MAPA'!$AU$6:$AU$105,0)))</f>
        <v/>
      </c>
      <c r="G38" s="29" t="str">
        <f aca="false">IF($A38="","",INDEX('AVALIAÇÃO MAPA'!$AM$6:$AM$105,MATCH($A38,'AVALIAÇÃO MAPA'!$AU$6:$AU$105,0)))</f>
        <v/>
      </c>
      <c r="H38" s="15" t="str">
        <f aca="false">IF($A38="","",INDEX('AVALIAÇÃO MAPA'!$AS$6:$AS$105,MATCH($A38,'AVALIAÇÃO MAPA'!$AU$6:$AU$105,0)))</f>
        <v/>
      </c>
      <c r="I38" s="15" t="str">
        <f aca="false">IF($A38="","",INDEX('AVALIAÇÃO MAPA'!$AP$6:$AP$105,MATCH($A38,'AVALIAÇÃO MAPA'!$AU$6:$AU$105,0)))</f>
        <v/>
      </c>
      <c r="J38" s="15" t="str">
        <f aca="false">IF($A38="","",INDEX('AVALIAÇÃO MAPA'!$AQ$6:$AQ$105,MATCH($A38,'AVALIAÇÃO MAPA'!$AU$6:$AU$105,0)))</f>
        <v/>
      </c>
      <c r="K38" s="15" t="str">
        <f aca="false">IF($A38="","",INDEX('AVALIAÇÃO MAPA'!$AR$6:$AR$105,MATCH($A38,'AVALIAÇÃO MAPA'!$AU$6:$AU$105,0)))</f>
        <v/>
      </c>
      <c r="L38" s="15" t="str">
        <f aca="false">IF($A38="","",INDEX('AVALIAÇÃO MAPA'!$AT$6:$AT$105,MATCH($A38,'AVALIAÇÃO MAPA'!$AU$6:$AU$105,0)))</f>
        <v/>
      </c>
      <c r="M38" s="15" t="str">
        <f aca="false">IF($A38="","",INDEX('AVALIAÇÃO MAPA'!$AW$6:$AW$105,MATCH($A38,'AVALIAÇÃO MAPA'!$AU$6:$AU$105,0)))</f>
        <v/>
      </c>
      <c r="N38" s="27" t="str">
        <f aca="false">IF($A38="","",INDEX('AVALIAÇÃO MAPA'!$BB$6:$BB$105,MATCH($A38,'AVALIAÇÃO MAPA'!$AU$6:$AU$105,0)))</f>
        <v/>
      </c>
      <c r="W38" s="32" t="n">
        <v>33</v>
      </c>
      <c r="X38" s="32" t="n">
        <f aca="false">IF(AND('AVALIAÇÃO MAPA'!AN38&lt;&gt;"",'AVALIAÇÃO MAPA'!D38=1),'AVALIAÇÃO MAPA'!AM38,-1)</f>
        <v>-1</v>
      </c>
      <c r="Y38" s="32" t="n">
        <f aca="false">IF(AND('AVALIAÇÃO MAPA'!AN38&lt;&gt;"",'AVALIAÇÃO MAPA'!D38=1),'AVALIAÇÃO MAPA'!AJ38,-1)</f>
        <v>-1</v>
      </c>
      <c r="Z38" s="32" t="str">
        <f aca="false">'AVALIAÇÃO MAPA'!AS38</f>
        <v/>
      </c>
      <c r="AA38" s="32" t="str">
        <f aca="false">'AVALIAÇÃO MAPA'!AP38</f>
        <v/>
      </c>
      <c r="AB38" s="32" t="n">
        <f aca="false">IF(Z38="Fazer primeiro",Y38,-1)</f>
        <v>-1</v>
      </c>
      <c r="AC38" s="32" t="n">
        <f aca="false">IF(Z38="Projeto estratégico",Y38,-1)</f>
        <v>-1</v>
      </c>
      <c r="AD38" s="32" t="n">
        <f aca="false">IF(Z38="Quick win",Y38,-1)</f>
        <v>-1</v>
      </c>
      <c r="AE38" s="32" t="n">
        <f aca="false">IF(Z38="Evitar",Y38,-1)</f>
        <v>-1</v>
      </c>
      <c r="AF38" s="32" t="n">
        <f aca="false">IF(AA38="SIM",Y38,-1)</f>
        <v>-1</v>
      </c>
    </row>
    <row r="39" customFormat="false" ht="15" hidden="false" customHeight="false" outlineLevel="0" collapsed="false">
      <c r="A39" s="15" t="str">
        <f aca="false">IF(COUNT('AVALIAÇÃO MAPA'!$AU$6:$AU$105)&gt;=34,34,"")</f>
        <v/>
      </c>
      <c r="B39" s="15" t="str">
        <f aca="false">IF($A39="","",INDEX('AVALIAÇÃO MAPA'!$A$6:$A$105,MATCH($A39,'AVALIAÇÃO MAPA'!$AU$6:$AU$105,0)))</f>
        <v/>
      </c>
      <c r="C39" s="18" t="str">
        <f aca="false">IF($A39="","",INDEX('AVALIAÇÃO MAPA'!$B$6:$B$105,MATCH($A39,'AVALIAÇÃO MAPA'!$AU$6:$AU$105,0)))</f>
        <v/>
      </c>
      <c r="D39" s="15" t="str">
        <f aca="false">IF($A39="","",INDEX('AVALIAÇÃO MAPA'!$C$6:$C$105,MATCH($A39,'AVALIAÇÃO MAPA'!$AU$6:$AU$105,0)))</f>
        <v/>
      </c>
      <c r="E39" s="35" t="str">
        <f aca="false">IF($A39="","",INDEX('AVALIAÇÃO MAPA'!$AN$6:$AN$105,MATCH($A39,'AVALIAÇÃO MAPA'!$AU$6:$AU$105,0)))</f>
        <v/>
      </c>
      <c r="F39" s="29" t="str">
        <f aca="false">IF($A39="","",INDEX('AVALIAÇÃO MAPA'!$AJ$6:$AJ$105,MATCH($A39,'AVALIAÇÃO MAPA'!$AU$6:$AU$105,0)))</f>
        <v/>
      </c>
      <c r="G39" s="29" t="str">
        <f aca="false">IF($A39="","",INDEX('AVALIAÇÃO MAPA'!$AM$6:$AM$105,MATCH($A39,'AVALIAÇÃO MAPA'!$AU$6:$AU$105,0)))</f>
        <v/>
      </c>
      <c r="H39" s="15" t="str">
        <f aca="false">IF($A39="","",INDEX('AVALIAÇÃO MAPA'!$AS$6:$AS$105,MATCH($A39,'AVALIAÇÃO MAPA'!$AU$6:$AU$105,0)))</f>
        <v/>
      </c>
      <c r="I39" s="15" t="str">
        <f aca="false">IF($A39="","",INDEX('AVALIAÇÃO MAPA'!$AP$6:$AP$105,MATCH($A39,'AVALIAÇÃO MAPA'!$AU$6:$AU$105,0)))</f>
        <v/>
      </c>
      <c r="J39" s="15" t="str">
        <f aca="false">IF($A39="","",INDEX('AVALIAÇÃO MAPA'!$AQ$6:$AQ$105,MATCH($A39,'AVALIAÇÃO MAPA'!$AU$6:$AU$105,0)))</f>
        <v/>
      </c>
      <c r="K39" s="15" t="str">
        <f aca="false">IF($A39="","",INDEX('AVALIAÇÃO MAPA'!$AR$6:$AR$105,MATCH($A39,'AVALIAÇÃO MAPA'!$AU$6:$AU$105,0)))</f>
        <v/>
      </c>
      <c r="L39" s="15" t="str">
        <f aca="false">IF($A39="","",INDEX('AVALIAÇÃO MAPA'!$AT$6:$AT$105,MATCH($A39,'AVALIAÇÃO MAPA'!$AU$6:$AU$105,0)))</f>
        <v/>
      </c>
      <c r="M39" s="15" t="str">
        <f aca="false">IF($A39="","",INDEX('AVALIAÇÃO MAPA'!$AW$6:$AW$105,MATCH($A39,'AVALIAÇÃO MAPA'!$AU$6:$AU$105,0)))</f>
        <v/>
      </c>
      <c r="N39" s="27" t="str">
        <f aca="false">IF($A39="","",INDEX('AVALIAÇÃO MAPA'!$BB$6:$BB$105,MATCH($A39,'AVALIAÇÃO MAPA'!$AU$6:$AU$105,0)))</f>
        <v/>
      </c>
      <c r="W39" s="32" t="n">
        <v>34</v>
      </c>
      <c r="X39" s="32" t="n">
        <f aca="false">IF(AND('AVALIAÇÃO MAPA'!AN39&lt;&gt;"",'AVALIAÇÃO MAPA'!D39=1),'AVALIAÇÃO MAPA'!AM39,-1)</f>
        <v>-1</v>
      </c>
      <c r="Y39" s="32" t="n">
        <f aca="false">IF(AND('AVALIAÇÃO MAPA'!AN39&lt;&gt;"",'AVALIAÇÃO MAPA'!D39=1),'AVALIAÇÃO MAPA'!AJ39,-1)</f>
        <v>-1</v>
      </c>
      <c r="Z39" s="32" t="str">
        <f aca="false">'AVALIAÇÃO MAPA'!AS39</f>
        <v/>
      </c>
      <c r="AA39" s="32" t="str">
        <f aca="false">'AVALIAÇÃO MAPA'!AP39</f>
        <v/>
      </c>
      <c r="AB39" s="32" t="n">
        <f aca="false">IF(Z39="Fazer primeiro",Y39,-1)</f>
        <v>-1</v>
      </c>
      <c r="AC39" s="32" t="n">
        <f aca="false">IF(Z39="Projeto estratégico",Y39,-1)</f>
        <v>-1</v>
      </c>
      <c r="AD39" s="32" t="n">
        <f aca="false">IF(Z39="Quick win",Y39,-1)</f>
        <v>-1</v>
      </c>
      <c r="AE39" s="32" t="n">
        <f aca="false">IF(Z39="Evitar",Y39,-1)</f>
        <v>-1</v>
      </c>
      <c r="AF39" s="32" t="n">
        <f aca="false">IF(AA39="SIM",Y39,-1)</f>
        <v>-1</v>
      </c>
    </row>
    <row r="40" customFormat="false" ht="15" hidden="false" customHeight="false" outlineLevel="0" collapsed="false">
      <c r="A40" s="15" t="str">
        <f aca="false">IF(COUNT('AVALIAÇÃO MAPA'!$AU$6:$AU$105)&gt;=35,35,"")</f>
        <v/>
      </c>
      <c r="B40" s="15" t="str">
        <f aca="false">IF($A40="","",INDEX('AVALIAÇÃO MAPA'!$A$6:$A$105,MATCH($A40,'AVALIAÇÃO MAPA'!$AU$6:$AU$105,0)))</f>
        <v/>
      </c>
      <c r="C40" s="18" t="str">
        <f aca="false">IF($A40="","",INDEX('AVALIAÇÃO MAPA'!$B$6:$B$105,MATCH($A40,'AVALIAÇÃO MAPA'!$AU$6:$AU$105,0)))</f>
        <v/>
      </c>
      <c r="D40" s="15" t="str">
        <f aca="false">IF($A40="","",INDEX('AVALIAÇÃO MAPA'!$C$6:$C$105,MATCH($A40,'AVALIAÇÃO MAPA'!$AU$6:$AU$105,0)))</f>
        <v/>
      </c>
      <c r="E40" s="35" t="str">
        <f aca="false">IF($A40="","",INDEX('AVALIAÇÃO MAPA'!$AN$6:$AN$105,MATCH($A40,'AVALIAÇÃO MAPA'!$AU$6:$AU$105,0)))</f>
        <v/>
      </c>
      <c r="F40" s="29" t="str">
        <f aca="false">IF($A40="","",INDEX('AVALIAÇÃO MAPA'!$AJ$6:$AJ$105,MATCH($A40,'AVALIAÇÃO MAPA'!$AU$6:$AU$105,0)))</f>
        <v/>
      </c>
      <c r="G40" s="29" t="str">
        <f aca="false">IF($A40="","",INDEX('AVALIAÇÃO MAPA'!$AM$6:$AM$105,MATCH($A40,'AVALIAÇÃO MAPA'!$AU$6:$AU$105,0)))</f>
        <v/>
      </c>
      <c r="H40" s="15" t="str">
        <f aca="false">IF($A40="","",INDEX('AVALIAÇÃO MAPA'!$AS$6:$AS$105,MATCH($A40,'AVALIAÇÃO MAPA'!$AU$6:$AU$105,0)))</f>
        <v/>
      </c>
      <c r="I40" s="15" t="str">
        <f aca="false">IF($A40="","",INDEX('AVALIAÇÃO MAPA'!$AP$6:$AP$105,MATCH($A40,'AVALIAÇÃO MAPA'!$AU$6:$AU$105,0)))</f>
        <v/>
      </c>
      <c r="J40" s="15" t="str">
        <f aca="false">IF($A40="","",INDEX('AVALIAÇÃO MAPA'!$AQ$6:$AQ$105,MATCH($A40,'AVALIAÇÃO MAPA'!$AU$6:$AU$105,0)))</f>
        <v/>
      </c>
      <c r="K40" s="15" t="str">
        <f aca="false">IF($A40="","",INDEX('AVALIAÇÃO MAPA'!$AR$6:$AR$105,MATCH($A40,'AVALIAÇÃO MAPA'!$AU$6:$AU$105,0)))</f>
        <v/>
      </c>
      <c r="L40" s="15" t="str">
        <f aca="false">IF($A40="","",INDEX('AVALIAÇÃO MAPA'!$AT$6:$AT$105,MATCH($A40,'AVALIAÇÃO MAPA'!$AU$6:$AU$105,0)))</f>
        <v/>
      </c>
      <c r="M40" s="15" t="str">
        <f aca="false">IF($A40="","",INDEX('AVALIAÇÃO MAPA'!$AW$6:$AW$105,MATCH($A40,'AVALIAÇÃO MAPA'!$AU$6:$AU$105,0)))</f>
        <v/>
      </c>
      <c r="N40" s="27" t="str">
        <f aca="false">IF($A40="","",INDEX('AVALIAÇÃO MAPA'!$BB$6:$BB$105,MATCH($A40,'AVALIAÇÃO MAPA'!$AU$6:$AU$105,0)))</f>
        <v/>
      </c>
      <c r="W40" s="32" t="n">
        <v>35</v>
      </c>
      <c r="X40" s="32" t="n">
        <f aca="false">IF(AND('AVALIAÇÃO MAPA'!AN40&lt;&gt;"",'AVALIAÇÃO MAPA'!D40=1),'AVALIAÇÃO MAPA'!AM40,-1)</f>
        <v>-1</v>
      </c>
      <c r="Y40" s="32" t="n">
        <f aca="false">IF(AND('AVALIAÇÃO MAPA'!AN40&lt;&gt;"",'AVALIAÇÃO MAPA'!D40=1),'AVALIAÇÃO MAPA'!AJ40,-1)</f>
        <v>-1</v>
      </c>
      <c r="Z40" s="32" t="str">
        <f aca="false">'AVALIAÇÃO MAPA'!AS40</f>
        <v/>
      </c>
      <c r="AA40" s="32" t="str">
        <f aca="false">'AVALIAÇÃO MAPA'!AP40</f>
        <v/>
      </c>
      <c r="AB40" s="32" t="n">
        <f aca="false">IF(Z40="Fazer primeiro",Y40,-1)</f>
        <v>-1</v>
      </c>
      <c r="AC40" s="32" t="n">
        <f aca="false">IF(Z40="Projeto estratégico",Y40,-1)</f>
        <v>-1</v>
      </c>
      <c r="AD40" s="32" t="n">
        <f aca="false">IF(Z40="Quick win",Y40,-1)</f>
        <v>-1</v>
      </c>
      <c r="AE40" s="32" t="n">
        <f aca="false">IF(Z40="Evitar",Y40,-1)</f>
        <v>-1</v>
      </c>
      <c r="AF40" s="32" t="n">
        <f aca="false">IF(AA40="SIM",Y40,-1)</f>
        <v>-1</v>
      </c>
    </row>
    <row r="41" customFormat="false" ht="15" hidden="false" customHeight="false" outlineLevel="0" collapsed="false">
      <c r="A41" s="15" t="str">
        <f aca="false">IF(COUNT('AVALIAÇÃO MAPA'!$AU$6:$AU$105)&gt;=36,36,"")</f>
        <v/>
      </c>
      <c r="B41" s="15" t="str">
        <f aca="false">IF($A41="","",INDEX('AVALIAÇÃO MAPA'!$A$6:$A$105,MATCH($A41,'AVALIAÇÃO MAPA'!$AU$6:$AU$105,0)))</f>
        <v/>
      </c>
      <c r="C41" s="18" t="str">
        <f aca="false">IF($A41="","",INDEX('AVALIAÇÃO MAPA'!$B$6:$B$105,MATCH($A41,'AVALIAÇÃO MAPA'!$AU$6:$AU$105,0)))</f>
        <v/>
      </c>
      <c r="D41" s="15" t="str">
        <f aca="false">IF($A41="","",INDEX('AVALIAÇÃO MAPA'!$C$6:$C$105,MATCH($A41,'AVALIAÇÃO MAPA'!$AU$6:$AU$105,0)))</f>
        <v/>
      </c>
      <c r="E41" s="35" t="str">
        <f aca="false">IF($A41="","",INDEX('AVALIAÇÃO MAPA'!$AN$6:$AN$105,MATCH($A41,'AVALIAÇÃO MAPA'!$AU$6:$AU$105,0)))</f>
        <v/>
      </c>
      <c r="F41" s="29" t="str">
        <f aca="false">IF($A41="","",INDEX('AVALIAÇÃO MAPA'!$AJ$6:$AJ$105,MATCH($A41,'AVALIAÇÃO MAPA'!$AU$6:$AU$105,0)))</f>
        <v/>
      </c>
      <c r="G41" s="29" t="str">
        <f aca="false">IF($A41="","",INDEX('AVALIAÇÃO MAPA'!$AM$6:$AM$105,MATCH($A41,'AVALIAÇÃO MAPA'!$AU$6:$AU$105,0)))</f>
        <v/>
      </c>
      <c r="H41" s="15" t="str">
        <f aca="false">IF($A41="","",INDEX('AVALIAÇÃO MAPA'!$AS$6:$AS$105,MATCH($A41,'AVALIAÇÃO MAPA'!$AU$6:$AU$105,0)))</f>
        <v/>
      </c>
      <c r="I41" s="15" t="str">
        <f aca="false">IF($A41="","",INDEX('AVALIAÇÃO MAPA'!$AP$6:$AP$105,MATCH($A41,'AVALIAÇÃO MAPA'!$AU$6:$AU$105,0)))</f>
        <v/>
      </c>
      <c r="J41" s="15" t="str">
        <f aca="false">IF($A41="","",INDEX('AVALIAÇÃO MAPA'!$AQ$6:$AQ$105,MATCH($A41,'AVALIAÇÃO MAPA'!$AU$6:$AU$105,0)))</f>
        <v/>
      </c>
      <c r="K41" s="15" t="str">
        <f aca="false">IF($A41="","",INDEX('AVALIAÇÃO MAPA'!$AR$6:$AR$105,MATCH($A41,'AVALIAÇÃO MAPA'!$AU$6:$AU$105,0)))</f>
        <v/>
      </c>
      <c r="L41" s="15" t="str">
        <f aca="false">IF($A41="","",INDEX('AVALIAÇÃO MAPA'!$AT$6:$AT$105,MATCH($A41,'AVALIAÇÃO MAPA'!$AU$6:$AU$105,0)))</f>
        <v/>
      </c>
      <c r="M41" s="15" t="str">
        <f aca="false">IF($A41="","",INDEX('AVALIAÇÃO MAPA'!$AW$6:$AW$105,MATCH($A41,'AVALIAÇÃO MAPA'!$AU$6:$AU$105,0)))</f>
        <v/>
      </c>
      <c r="N41" s="27" t="str">
        <f aca="false">IF($A41="","",INDEX('AVALIAÇÃO MAPA'!$BB$6:$BB$105,MATCH($A41,'AVALIAÇÃO MAPA'!$AU$6:$AU$105,0)))</f>
        <v/>
      </c>
      <c r="W41" s="32" t="n">
        <v>36</v>
      </c>
      <c r="X41" s="32" t="n">
        <f aca="false">IF(AND('AVALIAÇÃO MAPA'!AN41&lt;&gt;"",'AVALIAÇÃO MAPA'!D41=1),'AVALIAÇÃO MAPA'!AM41,-1)</f>
        <v>-1</v>
      </c>
      <c r="Y41" s="32" t="n">
        <f aca="false">IF(AND('AVALIAÇÃO MAPA'!AN41&lt;&gt;"",'AVALIAÇÃO MAPA'!D41=1),'AVALIAÇÃO MAPA'!AJ41,-1)</f>
        <v>-1</v>
      </c>
      <c r="Z41" s="32" t="str">
        <f aca="false">'AVALIAÇÃO MAPA'!AS41</f>
        <v/>
      </c>
      <c r="AA41" s="32" t="str">
        <f aca="false">'AVALIAÇÃO MAPA'!AP41</f>
        <v/>
      </c>
      <c r="AB41" s="32" t="n">
        <f aca="false">IF(Z41="Fazer primeiro",Y41,-1)</f>
        <v>-1</v>
      </c>
      <c r="AC41" s="32" t="n">
        <f aca="false">IF(Z41="Projeto estratégico",Y41,-1)</f>
        <v>-1</v>
      </c>
      <c r="AD41" s="32" t="n">
        <f aca="false">IF(Z41="Quick win",Y41,-1)</f>
        <v>-1</v>
      </c>
      <c r="AE41" s="32" t="n">
        <f aca="false">IF(Z41="Evitar",Y41,-1)</f>
        <v>-1</v>
      </c>
      <c r="AF41" s="32" t="n">
        <f aca="false">IF(AA41="SIM",Y41,-1)</f>
        <v>-1</v>
      </c>
    </row>
    <row r="42" customFormat="false" ht="15" hidden="false" customHeight="false" outlineLevel="0" collapsed="false">
      <c r="A42" s="15" t="str">
        <f aca="false">IF(COUNT('AVALIAÇÃO MAPA'!$AU$6:$AU$105)&gt;=37,37,"")</f>
        <v/>
      </c>
      <c r="B42" s="15" t="str">
        <f aca="false">IF($A42="","",INDEX('AVALIAÇÃO MAPA'!$A$6:$A$105,MATCH($A42,'AVALIAÇÃO MAPA'!$AU$6:$AU$105,0)))</f>
        <v/>
      </c>
      <c r="C42" s="18" t="str">
        <f aca="false">IF($A42="","",INDEX('AVALIAÇÃO MAPA'!$B$6:$B$105,MATCH($A42,'AVALIAÇÃO MAPA'!$AU$6:$AU$105,0)))</f>
        <v/>
      </c>
      <c r="D42" s="15" t="str">
        <f aca="false">IF($A42="","",INDEX('AVALIAÇÃO MAPA'!$C$6:$C$105,MATCH($A42,'AVALIAÇÃO MAPA'!$AU$6:$AU$105,0)))</f>
        <v/>
      </c>
      <c r="E42" s="35" t="str">
        <f aca="false">IF($A42="","",INDEX('AVALIAÇÃO MAPA'!$AN$6:$AN$105,MATCH($A42,'AVALIAÇÃO MAPA'!$AU$6:$AU$105,0)))</f>
        <v/>
      </c>
      <c r="F42" s="29" t="str">
        <f aca="false">IF($A42="","",INDEX('AVALIAÇÃO MAPA'!$AJ$6:$AJ$105,MATCH($A42,'AVALIAÇÃO MAPA'!$AU$6:$AU$105,0)))</f>
        <v/>
      </c>
      <c r="G42" s="29" t="str">
        <f aca="false">IF($A42="","",INDEX('AVALIAÇÃO MAPA'!$AM$6:$AM$105,MATCH($A42,'AVALIAÇÃO MAPA'!$AU$6:$AU$105,0)))</f>
        <v/>
      </c>
      <c r="H42" s="15" t="str">
        <f aca="false">IF($A42="","",INDEX('AVALIAÇÃO MAPA'!$AS$6:$AS$105,MATCH($A42,'AVALIAÇÃO MAPA'!$AU$6:$AU$105,0)))</f>
        <v/>
      </c>
      <c r="I42" s="15" t="str">
        <f aca="false">IF($A42="","",INDEX('AVALIAÇÃO MAPA'!$AP$6:$AP$105,MATCH($A42,'AVALIAÇÃO MAPA'!$AU$6:$AU$105,0)))</f>
        <v/>
      </c>
      <c r="J42" s="15" t="str">
        <f aca="false">IF($A42="","",INDEX('AVALIAÇÃO MAPA'!$AQ$6:$AQ$105,MATCH($A42,'AVALIAÇÃO MAPA'!$AU$6:$AU$105,0)))</f>
        <v/>
      </c>
      <c r="K42" s="15" t="str">
        <f aca="false">IF($A42="","",INDEX('AVALIAÇÃO MAPA'!$AR$6:$AR$105,MATCH($A42,'AVALIAÇÃO MAPA'!$AU$6:$AU$105,0)))</f>
        <v/>
      </c>
      <c r="L42" s="15" t="str">
        <f aca="false">IF($A42="","",INDEX('AVALIAÇÃO MAPA'!$AT$6:$AT$105,MATCH($A42,'AVALIAÇÃO MAPA'!$AU$6:$AU$105,0)))</f>
        <v/>
      </c>
      <c r="M42" s="15" t="str">
        <f aca="false">IF($A42="","",INDEX('AVALIAÇÃO MAPA'!$AW$6:$AW$105,MATCH($A42,'AVALIAÇÃO MAPA'!$AU$6:$AU$105,0)))</f>
        <v/>
      </c>
      <c r="N42" s="27" t="str">
        <f aca="false">IF($A42="","",INDEX('AVALIAÇÃO MAPA'!$BB$6:$BB$105,MATCH($A42,'AVALIAÇÃO MAPA'!$AU$6:$AU$105,0)))</f>
        <v/>
      </c>
      <c r="W42" s="32" t="n">
        <v>37</v>
      </c>
      <c r="X42" s="32" t="n">
        <f aca="false">IF(AND('AVALIAÇÃO MAPA'!AN42&lt;&gt;"",'AVALIAÇÃO MAPA'!D42=1),'AVALIAÇÃO MAPA'!AM42,-1)</f>
        <v>-1</v>
      </c>
      <c r="Y42" s="32" t="n">
        <f aca="false">IF(AND('AVALIAÇÃO MAPA'!AN42&lt;&gt;"",'AVALIAÇÃO MAPA'!D42=1),'AVALIAÇÃO MAPA'!AJ42,-1)</f>
        <v>-1</v>
      </c>
      <c r="Z42" s="32" t="str">
        <f aca="false">'AVALIAÇÃO MAPA'!AS42</f>
        <v/>
      </c>
      <c r="AA42" s="32" t="str">
        <f aca="false">'AVALIAÇÃO MAPA'!AP42</f>
        <v/>
      </c>
      <c r="AB42" s="32" t="n">
        <f aca="false">IF(Z42="Fazer primeiro",Y42,-1)</f>
        <v>-1</v>
      </c>
      <c r="AC42" s="32" t="n">
        <f aca="false">IF(Z42="Projeto estratégico",Y42,-1)</f>
        <v>-1</v>
      </c>
      <c r="AD42" s="32" t="n">
        <f aca="false">IF(Z42="Quick win",Y42,-1)</f>
        <v>-1</v>
      </c>
      <c r="AE42" s="32" t="n">
        <f aca="false">IF(Z42="Evitar",Y42,-1)</f>
        <v>-1</v>
      </c>
      <c r="AF42" s="32" t="n">
        <f aca="false">IF(AA42="SIM",Y42,-1)</f>
        <v>-1</v>
      </c>
    </row>
    <row r="43" customFormat="false" ht="15" hidden="false" customHeight="false" outlineLevel="0" collapsed="false">
      <c r="A43" s="15" t="str">
        <f aca="false">IF(COUNT('AVALIAÇÃO MAPA'!$AU$6:$AU$105)&gt;=38,38,"")</f>
        <v/>
      </c>
      <c r="B43" s="15" t="str">
        <f aca="false">IF($A43="","",INDEX('AVALIAÇÃO MAPA'!$A$6:$A$105,MATCH($A43,'AVALIAÇÃO MAPA'!$AU$6:$AU$105,0)))</f>
        <v/>
      </c>
      <c r="C43" s="18" t="str">
        <f aca="false">IF($A43="","",INDEX('AVALIAÇÃO MAPA'!$B$6:$B$105,MATCH($A43,'AVALIAÇÃO MAPA'!$AU$6:$AU$105,0)))</f>
        <v/>
      </c>
      <c r="D43" s="15" t="str">
        <f aca="false">IF($A43="","",INDEX('AVALIAÇÃO MAPA'!$C$6:$C$105,MATCH($A43,'AVALIAÇÃO MAPA'!$AU$6:$AU$105,0)))</f>
        <v/>
      </c>
      <c r="E43" s="35" t="str">
        <f aca="false">IF($A43="","",INDEX('AVALIAÇÃO MAPA'!$AN$6:$AN$105,MATCH($A43,'AVALIAÇÃO MAPA'!$AU$6:$AU$105,0)))</f>
        <v/>
      </c>
      <c r="F43" s="29" t="str">
        <f aca="false">IF($A43="","",INDEX('AVALIAÇÃO MAPA'!$AJ$6:$AJ$105,MATCH($A43,'AVALIAÇÃO MAPA'!$AU$6:$AU$105,0)))</f>
        <v/>
      </c>
      <c r="G43" s="29" t="str">
        <f aca="false">IF($A43="","",INDEX('AVALIAÇÃO MAPA'!$AM$6:$AM$105,MATCH($A43,'AVALIAÇÃO MAPA'!$AU$6:$AU$105,0)))</f>
        <v/>
      </c>
      <c r="H43" s="15" t="str">
        <f aca="false">IF($A43="","",INDEX('AVALIAÇÃO MAPA'!$AS$6:$AS$105,MATCH($A43,'AVALIAÇÃO MAPA'!$AU$6:$AU$105,0)))</f>
        <v/>
      </c>
      <c r="I43" s="15" t="str">
        <f aca="false">IF($A43="","",INDEX('AVALIAÇÃO MAPA'!$AP$6:$AP$105,MATCH($A43,'AVALIAÇÃO MAPA'!$AU$6:$AU$105,0)))</f>
        <v/>
      </c>
      <c r="J43" s="15" t="str">
        <f aca="false">IF($A43="","",INDEX('AVALIAÇÃO MAPA'!$AQ$6:$AQ$105,MATCH($A43,'AVALIAÇÃO MAPA'!$AU$6:$AU$105,0)))</f>
        <v/>
      </c>
      <c r="K43" s="15" t="str">
        <f aca="false">IF($A43="","",INDEX('AVALIAÇÃO MAPA'!$AR$6:$AR$105,MATCH($A43,'AVALIAÇÃO MAPA'!$AU$6:$AU$105,0)))</f>
        <v/>
      </c>
      <c r="L43" s="15" t="str">
        <f aca="false">IF($A43="","",INDEX('AVALIAÇÃO MAPA'!$AT$6:$AT$105,MATCH($A43,'AVALIAÇÃO MAPA'!$AU$6:$AU$105,0)))</f>
        <v/>
      </c>
      <c r="M43" s="15" t="str">
        <f aca="false">IF($A43="","",INDEX('AVALIAÇÃO MAPA'!$AW$6:$AW$105,MATCH($A43,'AVALIAÇÃO MAPA'!$AU$6:$AU$105,0)))</f>
        <v/>
      </c>
      <c r="N43" s="27" t="str">
        <f aca="false">IF($A43="","",INDEX('AVALIAÇÃO MAPA'!$BB$6:$BB$105,MATCH($A43,'AVALIAÇÃO MAPA'!$AU$6:$AU$105,0)))</f>
        <v/>
      </c>
      <c r="W43" s="32" t="n">
        <v>38</v>
      </c>
      <c r="X43" s="32" t="n">
        <f aca="false">IF(AND('AVALIAÇÃO MAPA'!AN43&lt;&gt;"",'AVALIAÇÃO MAPA'!D43=1),'AVALIAÇÃO MAPA'!AM43,-1)</f>
        <v>-1</v>
      </c>
      <c r="Y43" s="32" t="n">
        <f aca="false">IF(AND('AVALIAÇÃO MAPA'!AN43&lt;&gt;"",'AVALIAÇÃO MAPA'!D43=1),'AVALIAÇÃO MAPA'!AJ43,-1)</f>
        <v>-1</v>
      </c>
      <c r="Z43" s="32" t="str">
        <f aca="false">'AVALIAÇÃO MAPA'!AS43</f>
        <v/>
      </c>
      <c r="AA43" s="32" t="str">
        <f aca="false">'AVALIAÇÃO MAPA'!AP43</f>
        <v/>
      </c>
      <c r="AB43" s="32" t="n">
        <f aca="false">IF(Z43="Fazer primeiro",Y43,-1)</f>
        <v>-1</v>
      </c>
      <c r="AC43" s="32" t="n">
        <f aca="false">IF(Z43="Projeto estratégico",Y43,-1)</f>
        <v>-1</v>
      </c>
      <c r="AD43" s="32" t="n">
        <f aca="false">IF(Z43="Quick win",Y43,-1)</f>
        <v>-1</v>
      </c>
      <c r="AE43" s="32" t="n">
        <f aca="false">IF(Z43="Evitar",Y43,-1)</f>
        <v>-1</v>
      </c>
      <c r="AF43" s="32" t="n">
        <f aca="false">IF(AA43="SIM",Y43,-1)</f>
        <v>-1</v>
      </c>
    </row>
    <row r="44" customFormat="false" ht="15" hidden="false" customHeight="false" outlineLevel="0" collapsed="false">
      <c r="A44" s="15" t="str">
        <f aca="false">IF(COUNT('AVALIAÇÃO MAPA'!$AU$6:$AU$105)&gt;=39,39,"")</f>
        <v/>
      </c>
      <c r="B44" s="15" t="str">
        <f aca="false">IF($A44="","",INDEX('AVALIAÇÃO MAPA'!$A$6:$A$105,MATCH($A44,'AVALIAÇÃO MAPA'!$AU$6:$AU$105,0)))</f>
        <v/>
      </c>
      <c r="C44" s="18" t="str">
        <f aca="false">IF($A44="","",INDEX('AVALIAÇÃO MAPA'!$B$6:$B$105,MATCH($A44,'AVALIAÇÃO MAPA'!$AU$6:$AU$105,0)))</f>
        <v/>
      </c>
      <c r="D44" s="15" t="str">
        <f aca="false">IF($A44="","",INDEX('AVALIAÇÃO MAPA'!$C$6:$C$105,MATCH($A44,'AVALIAÇÃO MAPA'!$AU$6:$AU$105,0)))</f>
        <v/>
      </c>
      <c r="E44" s="35" t="str">
        <f aca="false">IF($A44="","",INDEX('AVALIAÇÃO MAPA'!$AN$6:$AN$105,MATCH($A44,'AVALIAÇÃO MAPA'!$AU$6:$AU$105,0)))</f>
        <v/>
      </c>
      <c r="F44" s="29" t="str">
        <f aca="false">IF($A44="","",INDEX('AVALIAÇÃO MAPA'!$AJ$6:$AJ$105,MATCH($A44,'AVALIAÇÃO MAPA'!$AU$6:$AU$105,0)))</f>
        <v/>
      </c>
      <c r="G44" s="29" t="str">
        <f aca="false">IF($A44="","",INDEX('AVALIAÇÃO MAPA'!$AM$6:$AM$105,MATCH($A44,'AVALIAÇÃO MAPA'!$AU$6:$AU$105,0)))</f>
        <v/>
      </c>
      <c r="H44" s="15" t="str">
        <f aca="false">IF($A44="","",INDEX('AVALIAÇÃO MAPA'!$AS$6:$AS$105,MATCH($A44,'AVALIAÇÃO MAPA'!$AU$6:$AU$105,0)))</f>
        <v/>
      </c>
      <c r="I44" s="15" t="str">
        <f aca="false">IF($A44="","",INDEX('AVALIAÇÃO MAPA'!$AP$6:$AP$105,MATCH($A44,'AVALIAÇÃO MAPA'!$AU$6:$AU$105,0)))</f>
        <v/>
      </c>
      <c r="J44" s="15" t="str">
        <f aca="false">IF($A44="","",INDEX('AVALIAÇÃO MAPA'!$AQ$6:$AQ$105,MATCH($A44,'AVALIAÇÃO MAPA'!$AU$6:$AU$105,0)))</f>
        <v/>
      </c>
      <c r="K44" s="15" t="str">
        <f aca="false">IF($A44="","",INDEX('AVALIAÇÃO MAPA'!$AR$6:$AR$105,MATCH($A44,'AVALIAÇÃO MAPA'!$AU$6:$AU$105,0)))</f>
        <v/>
      </c>
      <c r="L44" s="15" t="str">
        <f aca="false">IF($A44="","",INDEX('AVALIAÇÃO MAPA'!$AT$6:$AT$105,MATCH($A44,'AVALIAÇÃO MAPA'!$AU$6:$AU$105,0)))</f>
        <v/>
      </c>
      <c r="M44" s="15" t="str">
        <f aca="false">IF($A44="","",INDEX('AVALIAÇÃO MAPA'!$AW$6:$AW$105,MATCH($A44,'AVALIAÇÃO MAPA'!$AU$6:$AU$105,0)))</f>
        <v/>
      </c>
      <c r="N44" s="27" t="str">
        <f aca="false">IF($A44="","",INDEX('AVALIAÇÃO MAPA'!$BB$6:$BB$105,MATCH($A44,'AVALIAÇÃO MAPA'!$AU$6:$AU$105,0)))</f>
        <v/>
      </c>
      <c r="W44" s="32" t="n">
        <v>39</v>
      </c>
      <c r="X44" s="32" t="n">
        <f aca="false">IF(AND('AVALIAÇÃO MAPA'!AN44&lt;&gt;"",'AVALIAÇÃO MAPA'!D44=1),'AVALIAÇÃO MAPA'!AM44,-1)</f>
        <v>-1</v>
      </c>
      <c r="Y44" s="32" t="n">
        <f aca="false">IF(AND('AVALIAÇÃO MAPA'!AN44&lt;&gt;"",'AVALIAÇÃO MAPA'!D44=1),'AVALIAÇÃO MAPA'!AJ44,-1)</f>
        <v>-1</v>
      </c>
      <c r="Z44" s="32" t="str">
        <f aca="false">'AVALIAÇÃO MAPA'!AS44</f>
        <v/>
      </c>
      <c r="AA44" s="32" t="str">
        <f aca="false">'AVALIAÇÃO MAPA'!AP44</f>
        <v/>
      </c>
      <c r="AB44" s="32" t="n">
        <f aca="false">IF(Z44="Fazer primeiro",Y44,-1)</f>
        <v>-1</v>
      </c>
      <c r="AC44" s="32" t="n">
        <f aca="false">IF(Z44="Projeto estratégico",Y44,-1)</f>
        <v>-1</v>
      </c>
      <c r="AD44" s="32" t="n">
        <f aca="false">IF(Z44="Quick win",Y44,-1)</f>
        <v>-1</v>
      </c>
      <c r="AE44" s="32" t="n">
        <f aca="false">IF(Z44="Evitar",Y44,-1)</f>
        <v>-1</v>
      </c>
      <c r="AF44" s="32" t="n">
        <f aca="false">IF(AA44="SIM",Y44,-1)</f>
        <v>-1</v>
      </c>
    </row>
    <row r="45" customFormat="false" ht="15" hidden="false" customHeight="false" outlineLevel="0" collapsed="false">
      <c r="A45" s="15" t="str">
        <f aca="false">IF(COUNT('AVALIAÇÃO MAPA'!$AU$6:$AU$105)&gt;=40,40,"")</f>
        <v/>
      </c>
      <c r="B45" s="15" t="str">
        <f aca="false">IF($A45="","",INDEX('AVALIAÇÃO MAPA'!$A$6:$A$105,MATCH($A45,'AVALIAÇÃO MAPA'!$AU$6:$AU$105,0)))</f>
        <v/>
      </c>
      <c r="C45" s="18" t="str">
        <f aca="false">IF($A45="","",INDEX('AVALIAÇÃO MAPA'!$B$6:$B$105,MATCH($A45,'AVALIAÇÃO MAPA'!$AU$6:$AU$105,0)))</f>
        <v/>
      </c>
      <c r="D45" s="15" t="str">
        <f aca="false">IF($A45="","",INDEX('AVALIAÇÃO MAPA'!$C$6:$C$105,MATCH($A45,'AVALIAÇÃO MAPA'!$AU$6:$AU$105,0)))</f>
        <v/>
      </c>
      <c r="E45" s="35" t="str">
        <f aca="false">IF($A45="","",INDEX('AVALIAÇÃO MAPA'!$AN$6:$AN$105,MATCH($A45,'AVALIAÇÃO MAPA'!$AU$6:$AU$105,0)))</f>
        <v/>
      </c>
      <c r="F45" s="29" t="str">
        <f aca="false">IF($A45="","",INDEX('AVALIAÇÃO MAPA'!$AJ$6:$AJ$105,MATCH($A45,'AVALIAÇÃO MAPA'!$AU$6:$AU$105,0)))</f>
        <v/>
      </c>
      <c r="G45" s="29" t="str">
        <f aca="false">IF($A45="","",INDEX('AVALIAÇÃO MAPA'!$AM$6:$AM$105,MATCH($A45,'AVALIAÇÃO MAPA'!$AU$6:$AU$105,0)))</f>
        <v/>
      </c>
      <c r="H45" s="15" t="str">
        <f aca="false">IF($A45="","",INDEX('AVALIAÇÃO MAPA'!$AS$6:$AS$105,MATCH($A45,'AVALIAÇÃO MAPA'!$AU$6:$AU$105,0)))</f>
        <v/>
      </c>
      <c r="I45" s="15" t="str">
        <f aca="false">IF($A45="","",INDEX('AVALIAÇÃO MAPA'!$AP$6:$AP$105,MATCH($A45,'AVALIAÇÃO MAPA'!$AU$6:$AU$105,0)))</f>
        <v/>
      </c>
      <c r="J45" s="15" t="str">
        <f aca="false">IF($A45="","",INDEX('AVALIAÇÃO MAPA'!$AQ$6:$AQ$105,MATCH($A45,'AVALIAÇÃO MAPA'!$AU$6:$AU$105,0)))</f>
        <v/>
      </c>
      <c r="K45" s="15" t="str">
        <f aca="false">IF($A45="","",INDEX('AVALIAÇÃO MAPA'!$AR$6:$AR$105,MATCH($A45,'AVALIAÇÃO MAPA'!$AU$6:$AU$105,0)))</f>
        <v/>
      </c>
      <c r="L45" s="15" t="str">
        <f aca="false">IF($A45="","",INDEX('AVALIAÇÃO MAPA'!$AT$6:$AT$105,MATCH($A45,'AVALIAÇÃO MAPA'!$AU$6:$AU$105,0)))</f>
        <v/>
      </c>
      <c r="M45" s="15" t="str">
        <f aca="false">IF($A45="","",INDEX('AVALIAÇÃO MAPA'!$AW$6:$AW$105,MATCH($A45,'AVALIAÇÃO MAPA'!$AU$6:$AU$105,0)))</f>
        <v/>
      </c>
      <c r="N45" s="27" t="str">
        <f aca="false">IF($A45="","",INDEX('AVALIAÇÃO MAPA'!$BB$6:$BB$105,MATCH($A45,'AVALIAÇÃO MAPA'!$AU$6:$AU$105,0)))</f>
        <v/>
      </c>
      <c r="W45" s="32" t="n">
        <v>40</v>
      </c>
      <c r="X45" s="32" t="n">
        <f aca="false">IF(AND('AVALIAÇÃO MAPA'!AN45&lt;&gt;"",'AVALIAÇÃO MAPA'!D45=1),'AVALIAÇÃO MAPA'!AM45,-1)</f>
        <v>-1</v>
      </c>
      <c r="Y45" s="32" t="n">
        <f aca="false">IF(AND('AVALIAÇÃO MAPA'!AN45&lt;&gt;"",'AVALIAÇÃO MAPA'!D45=1),'AVALIAÇÃO MAPA'!AJ45,-1)</f>
        <v>-1</v>
      </c>
      <c r="Z45" s="32" t="str">
        <f aca="false">'AVALIAÇÃO MAPA'!AS45</f>
        <v/>
      </c>
      <c r="AA45" s="32" t="str">
        <f aca="false">'AVALIAÇÃO MAPA'!AP45</f>
        <v/>
      </c>
      <c r="AB45" s="32" t="n">
        <f aca="false">IF(Z45="Fazer primeiro",Y45,-1)</f>
        <v>-1</v>
      </c>
      <c r="AC45" s="32" t="n">
        <f aca="false">IF(Z45="Projeto estratégico",Y45,-1)</f>
        <v>-1</v>
      </c>
      <c r="AD45" s="32" t="n">
        <f aca="false">IF(Z45="Quick win",Y45,-1)</f>
        <v>-1</v>
      </c>
      <c r="AE45" s="32" t="n">
        <f aca="false">IF(Z45="Evitar",Y45,-1)</f>
        <v>-1</v>
      </c>
      <c r="AF45" s="32" t="n">
        <f aca="false">IF(AA45="SIM",Y45,-1)</f>
        <v>-1</v>
      </c>
    </row>
    <row r="46" customFormat="false" ht="15" hidden="false" customHeight="false" outlineLevel="0" collapsed="false">
      <c r="A46" s="15" t="str">
        <f aca="false">IF(COUNT('AVALIAÇÃO MAPA'!$AU$6:$AU$105)&gt;=41,41,"")</f>
        <v/>
      </c>
      <c r="B46" s="15" t="str">
        <f aca="false">IF($A46="","",INDEX('AVALIAÇÃO MAPA'!$A$6:$A$105,MATCH($A46,'AVALIAÇÃO MAPA'!$AU$6:$AU$105,0)))</f>
        <v/>
      </c>
      <c r="C46" s="18" t="str">
        <f aca="false">IF($A46="","",INDEX('AVALIAÇÃO MAPA'!$B$6:$B$105,MATCH($A46,'AVALIAÇÃO MAPA'!$AU$6:$AU$105,0)))</f>
        <v/>
      </c>
      <c r="D46" s="15" t="str">
        <f aca="false">IF($A46="","",INDEX('AVALIAÇÃO MAPA'!$C$6:$C$105,MATCH($A46,'AVALIAÇÃO MAPA'!$AU$6:$AU$105,0)))</f>
        <v/>
      </c>
      <c r="E46" s="35" t="str">
        <f aca="false">IF($A46="","",INDEX('AVALIAÇÃO MAPA'!$AN$6:$AN$105,MATCH($A46,'AVALIAÇÃO MAPA'!$AU$6:$AU$105,0)))</f>
        <v/>
      </c>
      <c r="F46" s="29" t="str">
        <f aca="false">IF($A46="","",INDEX('AVALIAÇÃO MAPA'!$AJ$6:$AJ$105,MATCH($A46,'AVALIAÇÃO MAPA'!$AU$6:$AU$105,0)))</f>
        <v/>
      </c>
      <c r="G46" s="29" t="str">
        <f aca="false">IF($A46="","",INDEX('AVALIAÇÃO MAPA'!$AM$6:$AM$105,MATCH($A46,'AVALIAÇÃO MAPA'!$AU$6:$AU$105,0)))</f>
        <v/>
      </c>
      <c r="H46" s="15" t="str">
        <f aca="false">IF($A46="","",INDEX('AVALIAÇÃO MAPA'!$AS$6:$AS$105,MATCH($A46,'AVALIAÇÃO MAPA'!$AU$6:$AU$105,0)))</f>
        <v/>
      </c>
      <c r="I46" s="15" t="str">
        <f aca="false">IF($A46="","",INDEX('AVALIAÇÃO MAPA'!$AP$6:$AP$105,MATCH($A46,'AVALIAÇÃO MAPA'!$AU$6:$AU$105,0)))</f>
        <v/>
      </c>
      <c r="J46" s="15" t="str">
        <f aca="false">IF($A46="","",INDEX('AVALIAÇÃO MAPA'!$AQ$6:$AQ$105,MATCH($A46,'AVALIAÇÃO MAPA'!$AU$6:$AU$105,0)))</f>
        <v/>
      </c>
      <c r="K46" s="15" t="str">
        <f aca="false">IF($A46="","",INDEX('AVALIAÇÃO MAPA'!$AR$6:$AR$105,MATCH($A46,'AVALIAÇÃO MAPA'!$AU$6:$AU$105,0)))</f>
        <v/>
      </c>
      <c r="L46" s="15" t="str">
        <f aca="false">IF($A46="","",INDEX('AVALIAÇÃO MAPA'!$AT$6:$AT$105,MATCH($A46,'AVALIAÇÃO MAPA'!$AU$6:$AU$105,0)))</f>
        <v/>
      </c>
      <c r="M46" s="15" t="str">
        <f aca="false">IF($A46="","",INDEX('AVALIAÇÃO MAPA'!$AW$6:$AW$105,MATCH($A46,'AVALIAÇÃO MAPA'!$AU$6:$AU$105,0)))</f>
        <v/>
      </c>
      <c r="N46" s="27" t="str">
        <f aca="false">IF($A46="","",INDEX('AVALIAÇÃO MAPA'!$BB$6:$BB$105,MATCH($A46,'AVALIAÇÃO MAPA'!$AU$6:$AU$105,0)))</f>
        <v/>
      </c>
      <c r="W46" s="32" t="n">
        <v>41</v>
      </c>
      <c r="X46" s="32" t="n">
        <f aca="false">IF(AND('AVALIAÇÃO MAPA'!AN46&lt;&gt;"",'AVALIAÇÃO MAPA'!D46=1),'AVALIAÇÃO MAPA'!AM46,-1)</f>
        <v>-1</v>
      </c>
      <c r="Y46" s="32" t="n">
        <f aca="false">IF(AND('AVALIAÇÃO MAPA'!AN46&lt;&gt;"",'AVALIAÇÃO MAPA'!D46=1),'AVALIAÇÃO MAPA'!AJ46,-1)</f>
        <v>-1</v>
      </c>
      <c r="Z46" s="32" t="str">
        <f aca="false">'AVALIAÇÃO MAPA'!AS46</f>
        <v/>
      </c>
      <c r="AA46" s="32" t="str">
        <f aca="false">'AVALIAÇÃO MAPA'!AP46</f>
        <v/>
      </c>
      <c r="AB46" s="32" t="n">
        <f aca="false">IF(Z46="Fazer primeiro",Y46,-1)</f>
        <v>-1</v>
      </c>
      <c r="AC46" s="32" t="n">
        <f aca="false">IF(Z46="Projeto estratégico",Y46,-1)</f>
        <v>-1</v>
      </c>
      <c r="AD46" s="32" t="n">
        <f aca="false">IF(Z46="Quick win",Y46,-1)</f>
        <v>-1</v>
      </c>
      <c r="AE46" s="32" t="n">
        <f aca="false">IF(Z46="Evitar",Y46,-1)</f>
        <v>-1</v>
      </c>
      <c r="AF46" s="32" t="n">
        <f aca="false">IF(AA46="SIM",Y46,-1)</f>
        <v>-1</v>
      </c>
    </row>
    <row r="47" customFormat="false" ht="15" hidden="false" customHeight="false" outlineLevel="0" collapsed="false">
      <c r="A47" s="15" t="str">
        <f aca="false">IF(COUNT('AVALIAÇÃO MAPA'!$AU$6:$AU$105)&gt;=42,42,"")</f>
        <v/>
      </c>
      <c r="B47" s="15" t="str">
        <f aca="false">IF($A47="","",INDEX('AVALIAÇÃO MAPA'!$A$6:$A$105,MATCH($A47,'AVALIAÇÃO MAPA'!$AU$6:$AU$105,0)))</f>
        <v/>
      </c>
      <c r="C47" s="18" t="str">
        <f aca="false">IF($A47="","",INDEX('AVALIAÇÃO MAPA'!$B$6:$B$105,MATCH($A47,'AVALIAÇÃO MAPA'!$AU$6:$AU$105,0)))</f>
        <v/>
      </c>
      <c r="D47" s="15" t="str">
        <f aca="false">IF($A47="","",INDEX('AVALIAÇÃO MAPA'!$C$6:$C$105,MATCH($A47,'AVALIAÇÃO MAPA'!$AU$6:$AU$105,0)))</f>
        <v/>
      </c>
      <c r="E47" s="35" t="str">
        <f aca="false">IF($A47="","",INDEX('AVALIAÇÃO MAPA'!$AN$6:$AN$105,MATCH($A47,'AVALIAÇÃO MAPA'!$AU$6:$AU$105,0)))</f>
        <v/>
      </c>
      <c r="F47" s="29" t="str">
        <f aca="false">IF($A47="","",INDEX('AVALIAÇÃO MAPA'!$AJ$6:$AJ$105,MATCH($A47,'AVALIAÇÃO MAPA'!$AU$6:$AU$105,0)))</f>
        <v/>
      </c>
      <c r="G47" s="29" t="str">
        <f aca="false">IF($A47="","",INDEX('AVALIAÇÃO MAPA'!$AM$6:$AM$105,MATCH($A47,'AVALIAÇÃO MAPA'!$AU$6:$AU$105,0)))</f>
        <v/>
      </c>
      <c r="H47" s="15" t="str">
        <f aca="false">IF($A47="","",INDEX('AVALIAÇÃO MAPA'!$AS$6:$AS$105,MATCH($A47,'AVALIAÇÃO MAPA'!$AU$6:$AU$105,0)))</f>
        <v/>
      </c>
      <c r="I47" s="15" t="str">
        <f aca="false">IF($A47="","",INDEX('AVALIAÇÃO MAPA'!$AP$6:$AP$105,MATCH($A47,'AVALIAÇÃO MAPA'!$AU$6:$AU$105,0)))</f>
        <v/>
      </c>
      <c r="J47" s="15" t="str">
        <f aca="false">IF($A47="","",INDEX('AVALIAÇÃO MAPA'!$AQ$6:$AQ$105,MATCH($A47,'AVALIAÇÃO MAPA'!$AU$6:$AU$105,0)))</f>
        <v/>
      </c>
      <c r="K47" s="15" t="str">
        <f aca="false">IF($A47="","",INDEX('AVALIAÇÃO MAPA'!$AR$6:$AR$105,MATCH($A47,'AVALIAÇÃO MAPA'!$AU$6:$AU$105,0)))</f>
        <v/>
      </c>
      <c r="L47" s="15" t="str">
        <f aca="false">IF($A47="","",INDEX('AVALIAÇÃO MAPA'!$AT$6:$AT$105,MATCH($A47,'AVALIAÇÃO MAPA'!$AU$6:$AU$105,0)))</f>
        <v/>
      </c>
      <c r="M47" s="15" t="str">
        <f aca="false">IF($A47="","",INDEX('AVALIAÇÃO MAPA'!$AW$6:$AW$105,MATCH($A47,'AVALIAÇÃO MAPA'!$AU$6:$AU$105,0)))</f>
        <v/>
      </c>
      <c r="N47" s="27" t="str">
        <f aca="false">IF($A47="","",INDEX('AVALIAÇÃO MAPA'!$BB$6:$BB$105,MATCH($A47,'AVALIAÇÃO MAPA'!$AU$6:$AU$105,0)))</f>
        <v/>
      </c>
      <c r="W47" s="32" t="n">
        <v>42</v>
      </c>
      <c r="X47" s="32" t="n">
        <f aca="false">IF(AND('AVALIAÇÃO MAPA'!AN47&lt;&gt;"",'AVALIAÇÃO MAPA'!D47=1),'AVALIAÇÃO MAPA'!AM47,-1)</f>
        <v>-1</v>
      </c>
      <c r="Y47" s="32" t="n">
        <f aca="false">IF(AND('AVALIAÇÃO MAPA'!AN47&lt;&gt;"",'AVALIAÇÃO MAPA'!D47=1),'AVALIAÇÃO MAPA'!AJ47,-1)</f>
        <v>-1</v>
      </c>
      <c r="Z47" s="32" t="str">
        <f aca="false">'AVALIAÇÃO MAPA'!AS47</f>
        <v/>
      </c>
      <c r="AA47" s="32" t="str">
        <f aca="false">'AVALIAÇÃO MAPA'!AP47</f>
        <v/>
      </c>
      <c r="AB47" s="32" t="n">
        <f aca="false">IF(Z47="Fazer primeiro",Y47,-1)</f>
        <v>-1</v>
      </c>
      <c r="AC47" s="32" t="n">
        <f aca="false">IF(Z47="Projeto estratégico",Y47,-1)</f>
        <v>-1</v>
      </c>
      <c r="AD47" s="32" t="n">
        <f aca="false">IF(Z47="Quick win",Y47,-1)</f>
        <v>-1</v>
      </c>
      <c r="AE47" s="32" t="n">
        <f aca="false">IF(Z47="Evitar",Y47,-1)</f>
        <v>-1</v>
      </c>
      <c r="AF47" s="32" t="n">
        <f aca="false">IF(AA47="SIM",Y47,-1)</f>
        <v>-1</v>
      </c>
    </row>
    <row r="48" customFormat="false" ht="15" hidden="false" customHeight="false" outlineLevel="0" collapsed="false">
      <c r="A48" s="15" t="str">
        <f aca="false">IF(COUNT('AVALIAÇÃO MAPA'!$AU$6:$AU$105)&gt;=43,43,"")</f>
        <v/>
      </c>
      <c r="B48" s="15" t="str">
        <f aca="false">IF($A48="","",INDEX('AVALIAÇÃO MAPA'!$A$6:$A$105,MATCH($A48,'AVALIAÇÃO MAPA'!$AU$6:$AU$105,0)))</f>
        <v/>
      </c>
      <c r="C48" s="18" t="str">
        <f aca="false">IF($A48="","",INDEX('AVALIAÇÃO MAPA'!$B$6:$B$105,MATCH($A48,'AVALIAÇÃO MAPA'!$AU$6:$AU$105,0)))</f>
        <v/>
      </c>
      <c r="D48" s="15" t="str">
        <f aca="false">IF($A48="","",INDEX('AVALIAÇÃO MAPA'!$C$6:$C$105,MATCH($A48,'AVALIAÇÃO MAPA'!$AU$6:$AU$105,0)))</f>
        <v/>
      </c>
      <c r="E48" s="35" t="str">
        <f aca="false">IF($A48="","",INDEX('AVALIAÇÃO MAPA'!$AN$6:$AN$105,MATCH($A48,'AVALIAÇÃO MAPA'!$AU$6:$AU$105,0)))</f>
        <v/>
      </c>
      <c r="F48" s="29" t="str">
        <f aca="false">IF($A48="","",INDEX('AVALIAÇÃO MAPA'!$AJ$6:$AJ$105,MATCH($A48,'AVALIAÇÃO MAPA'!$AU$6:$AU$105,0)))</f>
        <v/>
      </c>
      <c r="G48" s="29" t="str">
        <f aca="false">IF($A48="","",INDEX('AVALIAÇÃO MAPA'!$AM$6:$AM$105,MATCH($A48,'AVALIAÇÃO MAPA'!$AU$6:$AU$105,0)))</f>
        <v/>
      </c>
      <c r="H48" s="15" t="str">
        <f aca="false">IF($A48="","",INDEX('AVALIAÇÃO MAPA'!$AS$6:$AS$105,MATCH($A48,'AVALIAÇÃO MAPA'!$AU$6:$AU$105,0)))</f>
        <v/>
      </c>
      <c r="I48" s="15" t="str">
        <f aca="false">IF($A48="","",INDEX('AVALIAÇÃO MAPA'!$AP$6:$AP$105,MATCH($A48,'AVALIAÇÃO MAPA'!$AU$6:$AU$105,0)))</f>
        <v/>
      </c>
      <c r="J48" s="15" t="str">
        <f aca="false">IF($A48="","",INDEX('AVALIAÇÃO MAPA'!$AQ$6:$AQ$105,MATCH($A48,'AVALIAÇÃO MAPA'!$AU$6:$AU$105,0)))</f>
        <v/>
      </c>
      <c r="K48" s="15" t="str">
        <f aca="false">IF($A48="","",INDEX('AVALIAÇÃO MAPA'!$AR$6:$AR$105,MATCH($A48,'AVALIAÇÃO MAPA'!$AU$6:$AU$105,0)))</f>
        <v/>
      </c>
      <c r="L48" s="15" t="str">
        <f aca="false">IF($A48="","",INDEX('AVALIAÇÃO MAPA'!$AT$6:$AT$105,MATCH($A48,'AVALIAÇÃO MAPA'!$AU$6:$AU$105,0)))</f>
        <v/>
      </c>
      <c r="M48" s="15" t="str">
        <f aca="false">IF($A48="","",INDEX('AVALIAÇÃO MAPA'!$AW$6:$AW$105,MATCH($A48,'AVALIAÇÃO MAPA'!$AU$6:$AU$105,0)))</f>
        <v/>
      </c>
      <c r="N48" s="27" t="str">
        <f aca="false">IF($A48="","",INDEX('AVALIAÇÃO MAPA'!$BB$6:$BB$105,MATCH($A48,'AVALIAÇÃO MAPA'!$AU$6:$AU$105,0)))</f>
        <v/>
      </c>
      <c r="W48" s="32" t="n">
        <v>43</v>
      </c>
      <c r="X48" s="32" t="n">
        <f aca="false">IF(AND('AVALIAÇÃO MAPA'!AN48&lt;&gt;"",'AVALIAÇÃO MAPA'!D48=1),'AVALIAÇÃO MAPA'!AM48,-1)</f>
        <v>-1</v>
      </c>
      <c r="Y48" s="32" t="n">
        <f aca="false">IF(AND('AVALIAÇÃO MAPA'!AN48&lt;&gt;"",'AVALIAÇÃO MAPA'!D48=1),'AVALIAÇÃO MAPA'!AJ48,-1)</f>
        <v>-1</v>
      </c>
      <c r="Z48" s="32" t="str">
        <f aca="false">'AVALIAÇÃO MAPA'!AS48</f>
        <v/>
      </c>
      <c r="AA48" s="32" t="str">
        <f aca="false">'AVALIAÇÃO MAPA'!AP48</f>
        <v/>
      </c>
      <c r="AB48" s="32" t="n">
        <f aca="false">IF(Z48="Fazer primeiro",Y48,-1)</f>
        <v>-1</v>
      </c>
      <c r="AC48" s="32" t="n">
        <f aca="false">IF(Z48="Projeto estratégico",Y48,-1)</f>
        <v>-1</v>
      </c>
      <c r="AD48" s="32" t="n">
        <f aca="false">IF(Z48="Quick win",Y48,-1)</f>
        <v>-1</v>
      </c>
      <c r="AE48" s="32" t="n">
        <f aca="false">IF(Z48="Evitar",Y48,-1)</f>
        <v>-1</v>
      </c>
      <c r="AF48" s="32" t="n">
        <f aca="false">IF(AA48="SIM",Y48,-1)</f>
        <v>-1</v>
      </c>
    </row>
    <row r="49" customFormat="false" ht="15" hidden="false" customHeight="false" outlineLevel="0" collapsed="false">
      <c r="A49" s="15" t="str">
        <f aca="false">IF(COUNT('AVALIAÇÃO MAPA'!$AU$6:$AU$105)&gt;=44,44,"")</f>
        <v/>
      </c>
      <c r="B49" s="15" t="str">
        <f aca="false">IF($A49="","",INDEX('AVALIAÇÃO MAPA'!$A$6:$A$105,MATCH($A49,'AVALIAÇÃO MAPA'!$AU$6:$AU$105,0)))</f>
        <v/>
      </c>
      <c r="C49" s="18" t="str">
        <f aca="false">IF($A49="","",INDEX('AVALIAÇÃO MAPA'!$B$6:$B$105,MATCH($A49,'AVALIAÇÃO MAPA'!$AU$6:$AU$105,0)))</f>
        <v/>
      </c>
      <c r="D49" s="15" t="str">
        <f aca="false">IF($A49="","",INDEX('AVALIAÇÃO MAPA'!$C$6:$C$105,MATCH($A49,'AVALIAÇÃO MAPA'!$AU$6:$AU$105,0)))</f>
        <v/>
      </c>
      <c r="E49" s="35" t="str">
        <f aca="false">IF($A49="","",INDEX('AVALIAÇÃO MAPA'!$AN$6:$AN$105,MATCH($A49,'AVALIAÇÃO MAPA'!$AU$6:$AU$105,0)))</f>
        <v/>
      </c>
      <c r="F49" s="29" t="str">
        <f aca="false">IF($A49="","",INDEX('AVALIAÇÃO MAPA'!$AJ$6:$AJ$105,MATCH($A49,'AVALIAÇÃO MAPA'!$AU$6:$AU$105,0)))</f>
        <v/>
      </c>
      <c r="G49" s="29" t="str">
        <f aca="false">IF($A49="","",INDEX('AVALIAÇÃO MAPA'!$AM$6:$AM$105,MATCH($A49,'AVALIAÇÃO MAPA'!$AU$6:$AU$105,0)))</f>
        <v/>
      </c>
      <c r="H49" s="15" t="str">
        <f aca="false">IF($A49="","",INDEX('AVALIAÇÃO MAPA'!$AS$6:$AS$105,MATCH($A49,'AVALIAÇÃO MAPA'!$AU$6:$AU$105,0)))</f>
        <v/>
      </c>
      <c r="I49" s="15" t="str">
        <f aca="false">IF($A49="","",INDEX('AVALIAÇÃO MAPA'!$AP$6:$AP$105,MATCH($A49,'AVALIAÇÃO MAPA'!$AU$6:$AU$105,0)))</f>
        <v/>
      </c>
      <c r="J49" s="15" t="str">
        <f aca="false">IF($A49="","",INDEX('AVALIAÇÃO MAPA'!$AQ$6:$AQ$105,MATCH($A49,'AVALIAÇÃO MAPA'!$AU$6:$AU$105,0)))</f>
        <v/>
      </c>
      <c r="K49" s="15" t="str">
        <f aca="false">IF($A49="","",INDEX('AVALIAÇÃO MAPA'!$AR$6:$AR$105,MATCH($A49,'AVALIAÇÃO MAPA'!$AU$6:$AU$105,0)))</f>
        <v/>
      </c>
      <c r="L49" s="15" t="str">
        <f aca="false">IF($A49="","",INDEX('AVALIAÇÃO MAPA'!$AT$6:$AT$105,MATCH($A49,'AVALIAÇÃO MAPA'!$AU$6:$AU$105,0)))</f>
        <v/>
      </c>
      <c r="M49" s="15" t="str">
        <f aca="false">IF($A49="","",INDEX('AVALIAÇÃO MAPA'!$AW$6:$AW$105,MATCH($A49,'AVALIAÇÃO MAPA'!$AU$6:$AU$105,0)))</f>
        <v/>
      </c>
      <c r="N49" s="27" t="str">
        <f aca="false">IF($A49="","",INDEX('AVALIAÇÃO MAPA'!$BB$6:$BB$105,MATCH($A49,'AVALIAÇÃO MAPA'!$AU$6:$AU$105,0)))</f>
        <v/>
      </c>
      <c r="W49" s="32" t="n">
        <v>44</v>
      </c>
      <c r="X49" s="32" t="n">
        <f aca="false">IF(AND('AVALIAÇÃO MAPA'!AN49&lt;&gt;"",'AVALIAÇÃO MAPA'!D49=1),'AVALIAÇÃO MAPA'!AM49,-1)</f>
        <v>-1</v>
      </c>
      <c r="Y49" s="32" t="n">
        <f aca="false">IF(AND('AVALIAÇÃO MAPA'!AN49&lt;&gt;"",'AVALIAÇÃO MAPA'!D49=1),'AVALIAÇÃO MAPA'!AJ49,-1)</f>
        <v>-1</v>
      </c>
      <c r="Z49" s="32" t="str">
        <f aca="false">'AVALIAÇÃO MAPA'!AS49</f>
        <v/>
      </c>
      <c r="AA49" s="32" t="str">
        <f aca="false">'AVALIAÇÃO MAPA'!AP49</f>
        <v/>
      </c>
      <c r="AB49" s="32" t="n">
        <f aca="false">IF(Z49="Fazer primeiro",Y49,-1)</f>
        <v>-1</v>
      </c>
      <c r="AC49" s="32" t="n">
        <f aca="false">IF(Z49="Projeto estratégico",Y49,-1)</f>
        <v>-1</v>
      </c>
      <c r="AD49" s="32" t="n">
        <f aca="false">IF(Z49="Quick win",Y49,-1)</f>
        <v>-1</v>
      </c>
      <c r="AE49" s="32" t="n">
        <f aca="false">IF(Z49="Evitar",Y49,-1)</f>
        <v>-1</v>
      </c>
      <c r="AF49" s="32" t="n">
        <f aca="false">IF(AA49="SIM",Y49,-1)</f>
        <v>-1</v>
      </c>
    </row>
    <row r="50" customFormat="false" ht="15" hidden="false" customHeight="false" outlineLevel="0" collapsed="false">
      <c r="A50" s="15" t="str">
        <f aca="false">IF(COUNT('AVALIAÇÃO MAPA'!$AU$6:$AU$105)&gt;=45,45,"")</f>
        <v/>
      </c>
      <c r="B50" s="15" t="str">
        <f aca="false">IF($A50="","",INDEX('AVALIAÇÃO MAPA'!$A$6:$A$105,MATCH($A50,'AVALIAÇÃO MAPA'!$AU$6:$AU$105,0)))</f>
        <v/>
      </c>
      <c r="C50" s="18" t="str">
        <f aca="false">IF($A50="","",INDEX('AVALIAÇÃO MAPA'!$B$6:$B$105,MATCH($A50,'AVALIAÇÃO MAPA'!$AU$6:$AU$105,0)))</f>
        <v/>
      </c>
      <c r="D50" s="15" t="str">
        <f aca="false">IF($A50="","",INDEX('AVALIAÇÃO MAPA'!$C$6:$C$105,MATCH($A50,'AVALIAÇÃO MAPA'!$AU$6:$AU$105,0)))</f>
        <v/>
      </c>
      <c r="E50" s="35" t="str">
        <f aca="false">IF($A50="","",INDEX('AVALIAÇÃO MAPA'!$AN$6:$AN$105,MATCH($A50,'AVALIAÇÃO MAPA'!$AU$6:$AU$105,0)))</f>
        <v/>
      </c>
      <c r="F50" s="29" t="str">
        <f aca="false">IF($A50="","",INDEX('AVALIAÇÃO MAPA'!$AJ$6:$AJ$105,MATCH($A50,'AVALIAÇÃO MAPA'!$AU$6:$AU$105,0)))</f>
        <v/>
      </c>
      <c r="G50" s="29" t="str">
        <f aca="false">IF($A50="","",INDEX('AVALIAÇÃO MAPA'!$AM$6:$AM$105,MATCH($A50,'AVALIAÇÃO MAPA'!$AU$6:$AU$105,0)))</f>
        <v/>
      </c>
      <c r="H50" s="15" t="str">
        <f aca="false">IF($A50="","",INDEX('AVALIAÇÃO MAPA'!$AS$6:$AS$105,MATCH($A50,'AVALIAÇÃO MAPA'!$AU$6:$AU$105,0)))</f>
        <v/>
      </c>
      <c r="I50" s="15" t="str">
        <f aca="false">IF($A50="","",INDEX('AVALIAÇÃO MAPA'!$AP$6:$AP$105,MATCH($A50,'AVALIAÇÃO MAPA'!$AU$6:$AU$105,0)))</f>
        <v/>
      </c>
      <c r="J50" s="15" t="str">
        <f aca="false">IF($A50="","",INDEX('AVALIAÇÃO MAPA'!$AQ$6:$AQ$105,MATCH($A50,'AVALIAÇÃO MAPA'!$AU$6:$AU$105,0)))</f>
        <v/>
      </c>
      <c r="K50" s="15" t="str">
        <f aca="false">IF($A50="","",INDEX('AVALIAÇÃO MAPA'!$AR$6:$AR$105,MATCH($A50,'AVALIAÇÃO MAPA'!$AU$6:$AU$105,0)))</f>
        <v/>
      </c>
      <c r="L50" s="15" t="str">
        <f aca="false">IF($A50="","",INDEX('AVALIAÇÃO MAPA'!$AT$6:$AT$105,MATCH($A50,'AVALIAÇÃO MAPA'!$AU$6:$AU$105,0)))</f>
        <v/>
      </c>
      <c r="M50" s="15" t="str">
        <f aca="false">IF($A50="","",INDEX('AVALIAÇÃO MAPA'!$AW$6:$AW$105,MATCH($A50,'AVALIAÇÃO MAPA'!$AU$6:$AU$105,0)))</f>
        <v/>
      </c>
      <c r="N50" s="27" t="str">
        <f aca="false">IF($A50="","",INDEX('AVALIAÇÃO MAPA'!$BB$6:$BB$105,MATCH($A50,'AVALIAÇÃO MAPA'!$AU$6:$AU$105,0)))</f>
        <v/>
      </c>
      <c r="W50" s="32" t="n">
        <v>45</v>
      </c>
      <c r="X50" s="32" t="n">
        <f aca="false">IF(AND('AVALIAÇÃO MAPA'!AN50&lt;&gt;"",'AVALIAÇÃO MAPA'!D50=1),'AVALIAÇÃO MAPA'!AM50,-1)</f>
        <v>-1</v>
      </c>
      <c r="Y50" s="32" t="n">
        <f aca="false">IF(AND('AVALIAÇÃO MAPA'!AN50&lt;&gt;"",'AVALIAÇÃO MAPA'!D50=1),'AVALIAÇÃO MAPA'!AJ50,-1)</f>
        <v>-1</v>
      </c>
      <c r="Z50" s="32" t="str">
        <f aca="false">'AVALIAÇÃO MAPA'!AS50</f>
        <v/>
      </c>
      <c r="AA50" s="32" t="str">
        <f aca="false">'AVALIAÇÃO MAPA'!AP50</f>
        <v/>
      </c>
      <c r="AB50" s="32" t="n">
        <f aca="false">IF(Z50="Fazer primeiro",Y50,-1)</f>
        <v>-1</v>
      </c>
      <c r="AC50" s="32" t="n">
        <f aca="false">IF(Z50="Projeto estratégico",Y50,-1)</f>
        <v>-1</v>
      </c>
      <c r="AD50" s="32" t="n">
        <f aca="false">IF(Z50="Quick win",Y50,-1)</f>
        <v>-1</v>
      </c>
      <c r="AE50" s="32" t="n">
        <f aca="false">IF(Z50="Evitar",Y50,-1)</f>
        <v>-1</v>
      </c>
      <c r="AF50" s="32" t="n">
        <f aca="false">IF(AA50="SIM",Y50,-1)</f>
        <v>-1</v>
      </c>
    </row>
    <row r="51" customFormat="false" ht="15" hidden="false" customHeight="false" outlineLevel="0" collapsed="false">
      <c r="A51" s="15" t="str">
        <f aca="false">IF(COUNT('AVALIAÇÃO MAPA'!$AU$6:$AU$105)&gt;=46,46,"")</f>
        <v/>
      </c>
      <c r="B51" s="15" t="str">
        <f aca="false">IF($A51="","",INDEX('AVALIAÇÃO MAPA'!$A$6:$A$105,MATCH($A51,'AVALIAÇÃO MAPA'!$AU$6:$AU$105,0)))</f>
        <v/>
      </c>
      <c r="C51" s="18" t="str">
        <f aca="false">IF($A51="","",INDEX('AVALIAÇÃO MAPA'!$B$6:$B$105,MATCH($A51,'AVALIAÇÃO MAPA'!$AU$6:$AU$105,0)))</f>
        <v/>
      </c>
      <c r="D51" s="15" t="str">
        <f aca="false">IF($A51="","",INDEX('AVALIAÇÃO MAPA'!$C$6:$C$105,MATCH($A51,'AVALIAÇÃO MAPA'!$AU$6:$AU$105,0)))</f>
        <v/>
      </c>
      <c r="E51" s="35" t="str">
        <f aca="false">IF($A51="","",INDEX('AVALIAÇÃO MAPA'!$AN$6:$AN$105,MATCH($A51,'AVALIAÇÃO MAPA'!$AU$6:$AU$105,0)))</f>
        <v/>
      </c>
      <c r="F51" s="29" t="str">
        <f aca="false">IF($A51="","",INDEX('AVALIAÇÃO MAPA'!$AJ$6:$AJ$105,MATCH($A51,'AVALIAÇÃO MAPA'!$AU$6:$AU$105,0)))</f>
        <v/>
      </c>
      <c r="G51" s="29" t="str">
        <f aca="false">IF($A51="","",INDEX('AVALIAÇÃO MAPA'!$AM$6:$AM$105,MATCH($A51,'AVALIAÇÃO MAPA'!$AU$6:$AU$105,0)))</f>
        <v/>
      </c>
      <c r="H51" s="15" t="str">
        <f aca="false">IF($A51="","",INDEX('AVALIAÇÃO MAPA'!$AS$6:$AS$105,MATCH($A51,'AVALIAÇÃO MAPA'!$AU$6:$AU$105,0)))</f>
        <v/>
      </c>
      <c r="I51" s="15" t="str">
        <f aca="false">IF($A51="","",INDEX('AVALIAÇÃO MAPA'!$AP$6:$AP$105,MATCH($A51,'AVALIAÇÃO MAPA'!$AU$6:$AU$105,0)))</f>
        <v/>
      </c>
      <c r="J51" s="15" t="str">
        <f aca="false">IF($A51="","",INDEX('AVALIAÇÃO MAPA'!$AQ$6:$AQ$105,MATCH($A51,'AVALIAÇÃO MAPA'!$AU$6:$AU$105,0)))</f>
        <v/>
      </c>
      <c r="K51" s="15" t="str">
        <f aca="false">IF($A51="","",INDEX('AVALIAÇÃO MAPA'!$AR$6:$AR$105,MATCH($A51,'AVALIAÇÃO MAPA'!$AU$6:$AU$105,0)))</f>
        <v/>
      </c>
      <c r="L51" s="15" t="str">
        <f aca="false">IF($A51="","",INDEX('AVALIAÇÃO MAPA'!$AT$6:$AT$105,MATCH($A51,'AVALIAÇÃO MAPA'!$AU$6:$AU$105,0)))</f>
        <v/>
      </c>
      <c r="M51" s="15" t="str">
        <f aca="false">IF($A51="","",INDEX('AVALIAÇÃO MAPA'!$AW$6:$AW$105,MATCH($A51,'AVALIAÇÃO MAPA'!$AU$6:$AU$105,0)))</f>
        <v/>
      </c>
      <c r="N51" s="27" t="str">
        <f aca="false">IF($A51="","",INDEX('AVALIAÇÃO MAPA'!$BB$6:$BB$105,MATCH($A51,'AVALIAÇÃO MAPA'!$AU$6:$AU$105,0)))</f>
        <v/>
      </c>
      <c r="W51" s="32" t="n">
        <v>46</v>
      </c>
      <c r="X51" s="32" t="n">
        <f aca="false">IF(AND('AVALIAÇÃO MAPA'!AN51&lt;&gt;"",'AVALIAÇÃO MAPA'!D51=1),'AVALIAÇÃO MAPA'!AM51,-1)</f>
        <v>-1</v>
      </c>
      <c r="Y51" s="32" t="n">
        <f aca="false">IF(AND('AVALIAÇÃO MAPA'!AN51&lt;&gt;"",'AVALIAÇÃO MAPA'!D51=1),'AVALIAÇÃO MAPA'!AJ51,-1)</f>
        <v>-1</v>
      </c>
      <c r="Z51" s="32" t="str">
        <f aca="false">'AVALIAÇÃO MAPA'!AS51</f>
        <v/>
      </c>
      <c r="AA51" s="32" t="str">
        <f aca="false">'AVALIAÇÃO MAPA'!AP51</f>
        <v/>
      </c>
      <c r="AB51" s="32" t="n">
        <f aca="false">IF(Z51="Fazer primeiro",Y51,-1)</f>
        <v>-1</v>
      </c>
      <c r="AC51" s="32" t="n">
        <f aca="false">IF(Z51="Projeto estratégico",Y51,-1)</f>
        <v>-1</v>
      </c>
      <c r="AD51" s="32" t="n">
        <f aca="false">IF(Z51="Quick win",Y51,-1)</f>
        <v>-1</v>
      </c>
      <c r="AE51" s="32" t="n">
        <f aca="false">IF(Z51="Evitar",Y51,-1)</f>
        <v>-1</v>
      </c>
      <c r="AF51" s="32" t="n">
        <f aca="false">IF(AA51="SIM",Y51,-1)</f>
        <v>-1</v>
      </c>
    </row>
    <row r="52" customFormat="false" ht="15" hidden="false" customHeight="false" outlineLevel="0" collapsed="false">
      <c r="A52" s="15" t="str">
        <f aca="false">IF(COUNT('AVALIAÇÃO MAPA'!$AU$6:$AU$105)&gt;=47,47,"")</f>
        <v/>
      </c>
      <c r="B52" s="15" t="str">
        <f aca="false">IF($A52="","",INDEX('AVALIAÇÃO MAPA'!$A$6:$A$105,MATCH($A52,'AVALIAÇÃO MAPA'!$AU$6:$AU$105,0)))</f>
        <v/>
      </c>
      <c r="C52" s="18" t="str">
        <f aca="false">IF($A52="","",INDEX('AVALIAÇÃO MAPA'!$B$6:$B$105,MATCH($A52,'AVALIAÇÃO MAPA'!$AU$6:$AU$105,0)))</f>
        <v/>
      </c>
      <c r="D52" s="15" t="str">
        <f aca="false">IF($A52="","",INDEX('AVALIAÇÃO MAPA'!$C$6:$C$105,MATCH($A52,'AVALIAÇÃO MAPA'!$AU$6:$AU$105,0)))</f>
        <v/>
      </c>
      <c r="E52" s="35" t="str">
        <f aca="false">IF($A52="","",INDEX('AVALIAÇÃO MAPA'!$AN$6:$AN$105,MATCH($A52,'AVALIAÇÃO MAPA'!$AU$6:$AU$105,0)))</f>
        <v/>
      </c>
      <c r="F52" s="29" t="str">
        <f aca="false">IF($A52="","",INDEX('AVALIAÇÃO MAPA'!$AJ$6:$AJ$105,MATCH($A52,'AVALIAÇÃO MAPA'!$AU$6:$AU$105,0)))</f>
        <v/>
      </c>
      <c r="G52" s="29" t="str">
        <f aca="false">IF($A52="","",INDEX('AVALIAÇÃO MAPA'!$AM$6:$AM$105,MATCH($A52,'AVALIAÇÃO MAPA'!$AU$6:$AU$105,0)))</f>
        <v/>
      </c>
      <c r="H52" s="15" t="str">
        <f aca="false">IF($A52="","",INDEX('AVALIAÇÃO MAPA'!$AS$6:$AS$105,MATCH($A52,'AVALIAÇÃO MAPA'!$AU$6:$AU$105,0)))</f>
        <v/>
      </c>
      <c r="I52" s="15" t="str">
        <f aca="false">IF($A52="","",INDEX('AVALIAÇÃO MAPA'!$AP$6:$AP$105,MATCH($A52,'AVALIAÇÃO MAPA'!$AU$6:$AU$105,0)))</f>
        <v/>
      </c>
      <c r="J52" s="15" t="str">
        <f aca="false">IF($A52="","",INDEX('AVALIAÇÃO MAPA'!$AQ$6:$AQ$105,MATCH($A52,'AVALIAÇÃO MAPA'!$AU$6:$AU$105,0)))</f>
        <v/>
      </c>
      <c r="K52" s="15" t="str">
        <f aca="false">IF($A52="","",INDEX('AVALIAÇÃO MAPA'!$AR$6:$AR$105,MATCH($A52,'AVALIAÇÃO MAPA'!$AU$6:$AU$105,0)))</f>
        <v/>
      </c>
      <c r="L52" s="15" t="str">
        <f aca="false">IF($A52="","",INDEX('AVALIAÇÃO MAPA'!$AT$6:$AT$105,MATCH($A52,'AVALIAÇÃO MAPA'!$AU$6:$AU$105,0)))</f>
        <v/>
      </c>
      <c r="M52" s="15" t="str">
        <f aca="false">IF($A52="","",INDEX('AVALIAÇÃO MAPA'!$AW$6:$AW$105,MATCH($A52,'AVALIAÇÃO MAPA'!$AU$6:$AU$105,0)))</f>
        <v/>
      </c>
      <c r="N52" s="27" t="str">
        <f aca="false">IF($A52="","",INDEX('AVALIAÇÃO MAPA'!$BB$6:$BB$105,MATCH($A52,'AVALIAÇÃO MAPA'!$AU$6:$AU$105,0)))</f>
        <v/>
      </c>
      <c r="W52" s="32" t="n">
        <v>47</v>
      </c>
      <c r="X52" s="32" t="n">
        <f aca="false">IF(AND('AVALIAÇÃO MAPA'!AN52&lt;&gt;"",'AVALIAÇÃO MAPA'!D52=1),'AVALIAÇÃO MAPA'!AM52,-1)</f>
        <v>-1</v>
      </c>
      <c r="Y52" s="32" t="n">
        <f aca="false">IF(AND('AVALIAÇÃO MAPA'!AN52&lt;&gt;"",'AVALIAÇÃO MAPA'!D52=1),'AVALIAÇÃO MAPA'!AJ52,-1)</f>
        <v>-1</v>
      </c>
      <c r="Z52" s="32" t="str">
        <f aca="false">'AVALIAÇÃO MAPA'!AS52</f>
        <v/>
      </c>
      <c r="AA52" s="32" t="str">
        <f aca="false">'AVALIAÇÃO MAPA'!AP52</f>
        <v/>
      </c>
      <c r="AB52" s="32" t="n">
        <f aca="false">IF(Z52="Fazer primeiro",Y52,-1)</f>
        <v>-1</v>
      </c>
      <c r="AC52" s="32" t="n">
        <f aca="false">IF(Z52="Projeto estratégico",Y52,-1)</f>
        <v>-1</v>
      </c>
      <c r="AD52" s="32" t="n">
        <f aca="false">IF(Z52="Quick win",Y52,-1)</f>
        <v>-1</v>
      </c>
      <c r="AE52" s="32" t="n">
        <f aca="false">IF(Z52="Evitar",Y52,-1)</f>
        <v>-1</v>
      </c>
      <c r="AF52" s="32" t="n">
        <f aca="false">IF(AA52="SIM",Y52,-1)</f>
        <v>-1</v>
      </c>
    </row>
    <row r="53" customFormat="false" ht="15" hidden="false" customHeight="false" outlineLevel="0" collapsed="false">
      <c r="A53" s="15" t="str">
        <f aca="false">IF(COUNT('AVALIAÇÃO MAPA'!$AU$6:$AU$105)&gt;=48,48,"")</f>
        <v/>
      </c>
      <c r="B53" s="15" t="str">
        <f aca="false">IF($A53="","",INDEX('AVALIAÇÃO MAPA'!$A$6:$A$105,MATCH($A53,'AVALIAÇÃO MAPA'!$AU$6:$AU$105,0)))</f>
        <v/>
      </c>
      <c r="C53" s="18" t="str">
        <f aca="false">IF($A53="","",INDEX('AVALIAÇÃO MAPA'!$B$6:$B$105,MATCH($A53,'AVALIAÇÃO MAPA'!$AU$6:$AU$105,0)))</f>
        <v/>
      </c>
      <c r="D53" s="15" t="str">
        <f aca="false">IF($A53="","",INDEX('AVALIAÇÃO MAPA'!$C$6:$C$105,MATCH($A53,'AVALIAÇÃO MAPA'!$AU$6:$AU$105,0)))</f>
        <v/>
      </c>
      <c r="E53" s="35" t="str">
        <f aca="false">IF($A53="","",INDEX('AVALIAÇÃO MAPA'!$AN$6:$AN$105,MATCH($A53,'AVALIAÇÃO MAPA'!$AU$6:$AU$105,0)))</f>
        <v/>
      </c>
      <c r="F53" s="29" t="str">
        <f aca="false">IF($A53="","",INDEX('AVALIAÇÃO MAPA'!$AJ$6:$AJ$105,MATCH($A53,'AVALIAÇÃO MAPA'!$AU$6:$AU$105,0)))</f>
        <v/>
      </c>
      <c r="G53" s="29" t="str">
        <f aca="false">IF($A53="","",INDEX('AVALIAÇÃO MAPA'!$AM$6:$AM$105,MATCH($A53,'AVALIAÇÃO MAPA'!$AU$6:$AU$105,0)))</f>
        <v/>
      </c>
      <c r="H53" s="15" t="str">
        <f aca="false">IF($A53="","",INDEX('AVALIAÇÃO MAPA'!$AS$6:$AS$105,MATCH($A53,'AVALIAÇÃO MAPA'!$AU$6:$AU$105,0)))</f>
        <v/>
      </c>
      <c r="I53" s="15" t="str">
        <f aca="false">IF($A53="","",INDEX('AVALIAÇÃO MAPA'!$AP$6:$AP$105,MATCH($A53,'AVALIAÇÃO MAPA'!$AU$6:$AU$105,0)))</f>
        <v/>
      </c>
      <c r="J53" s="15" t="str">
        <f aca="false">IF($A53="","",INDEX('AVALIAÇÃO MAPA'!$AQ$6:$AQ$105,MATCH($A53,'AVALIAÇÃO MAPA'!$AU$6:$AU$105,0)))</f>
        <v/>
      </c>
      <c r="K53" s="15" t="str">
        <f aca="false">IF($A53="","",INDEX('AVALIAÇÃO MAPA'!$AR$6:$AR$105,MATCH($A53,'AVALIAÇÃO MAPA'!$AU$6:$AU$105,0)))</f>
        <v/>
      </c>
      <c r="L53" s="15" t="str">
        <f aca="false">IF($A53="","",INDEX('AVALIAÇÃO MAPA'!$AT$6:$AT$105,MATCH($A53,'AVALIAÇÃO MAPA'!$AU$6:$AU$105,0)))</f>
        <v/>
      </c>
      <c r="M53" s="15" t="str">
        <f aca="false">IF($A53="","",INDEX('AVALIAÇÃO MAPA'!$AW$6:$AW$105,MATCH($A53,'AVALIAÇÃO MAPA'!$AU$6:$AU$105,0)))</f>
        <v/>
      </c>
      <c r="N53" s="27" t="str">
        <f aca="false">IF($A53="","",INDEX('AVALIAÇÃO MAPA'!$BB$6:$BB$105,MATCH($A53,'AVALIAÇÃO MAPA'!$AU$6:$AU$105,0)))</f>
        <v/>
      </c>
      <c r="W53" s="32" t="n">
        <v>48</v>
      </c>
      <c r="X53" s="32" t="n">
        <f aca="false">IF(AND('AVALIAÇÃO MAPA'!AN53&lt;&gt;"",'AVALIAÇÃO MAPA'!D53=1),'AVALIAÇÃO MAPA'!AM53,-1)</f>
        <v>-1</v>
      </c>
      <c r="Y53" s="32" t="n">
        <f aca="false">IF(AND('AVALIAÇÃO MAPA'!AN53&lt;&gt;"",'AVALIAÇÃO MAPA'!D53=1),'AVALIAÇÃO MAPA'!AJ53,-1)</f>
        <v>-1</v>
      </c>
      <c r="Z53" s="32" t="str">
        <f aca="false">'AVALIAÇÃO MAPA'!AS53</f>
        <v/>
      </c>
      <c r="AA53" s="32" t="str">
        <f aca="false">'AVALIAÇÃO MAPA'!AP53</f>
        <v/>
      </c>
      <c r="AB53" s="32" t="n">
        <f aca="false">IF(Z53="Fazer primeiro",Y53,-1)</f>
        <v>-1</v>
      </c>
      <c r="AC53" s="32" t="n">
        <f aca="false">IF(Z53="Projeto estratégico",Y53,-1)</f>
        <v>-1</v>
      </c>
      <c r="AD53" s="32" t="n">
        <f aca="false">IF(Z53="Quick win",Y53,-1)</f>
        <v>-1</v>
      </c>
      <c r="AE53" s="32" t="n">
        <f aca="false">IF(Z53="Evitar",Y53,-1)</f>
        <v>-1</v>
      </c>
      <c r="AF53" s="32" t="n">
        <f aca="false">IF(AA53="SIM",Y53,-1)</f>
        <v>-1</v>
      </c>
    </row>
    <row r="54" customFormat="false" ht="15" hidden="false" customHeight="false" outlineLevel="0" collapsed="false">
      <c r="A54" s="15" t="str">
        <f aca="false">IF(COUNT('AVALIAÇÃO MAPA'!$AU$6:$AU$105)&gt;=49,49,"")</f>
        <v/>
      </c>
      <c r="B54" s="15" t="str">
        <f aca="false">IF($A54="","",INDEX('AVALIAÇÃO MAPA'!$A$6:$A$105,MATCH($A54,'AVALIAÇÃO MAPA'!$AU$6:$AU$105,0)))</f>
        <v/>
      </c>
      <c r="C54" s="18" t="str">
        <f aca="false">IF($A54="","",INDEX('AVALIAÇÃO MAPA'!$B$6:$B$105,MATCH($A54,'AVALIAÇÃO MAPA'!$AU$6:$AU$105,0)))</f>
        <v/>
      </c>
      <c r="D54" s="15" t="str">
        <f aca="false">IF($A54="","",INDEX('AVALIAÇÃO MAPA'!$C$6:$C$105,MATCH($A54,'AVALIAÇÃO MAPA'!$AU$6:$AU$105,0)))</f>
        <v/>
      </c>
      <c r="E54" s="35" t="str">
        <f aca="false">IF($A54="","",INDEX('AVALIAÇÃO MAPA'!$AN$6:$AN$105,MATCH($A54,'AVALIAÇÃO MAPA'!$AU$6:$AU$105,0)))</f>
        <v/>
      </c>
      <c r="F54" s="29" t="str">
        <f aca="false">IF($A54="","",INDEX('AVALIAÇÃO MAPA'!$AJ$6:$AJ$105,MATCH($A54,'AVALIAÇÃO MAPA'!$AU$6:$AU$105,0)))</f>
        <v/>
      </c>
      <c r="G54" s="29" t="str">
        <f aca="false">IF($A54="","",INDEX('AVALIAÇÃO MAPA'!$AM$6:$AM$105,MATCH($A54,'AVALIAÇÃO MAPA'!$AU$6:$AU$105,0)))</f>
        <v/>
      </c>
      <c r="H54" s="15" t="str">
        <f aca="false">IF($A54="","",INDEX('AVALIAÇÃO MAPA'!$AS$6:$AS$105,MATCH($A54,'AVALIAÇÃO MAPA'!$AU$6:$AU$105,0)))</f>
        <v/>
      </c>
      <c r="I54" s="15" t="str">
        <f aca="false">IF($A54="","",INDEX('AVALIAÇÃO MAPA'!$AP$6:$AP$105,MATCH($A54,'AVALIAÇÃO MAPA'!$AU$6:$AU$105,0)))</f>
        <v/>
      </c>
      <c r="J54" s="15" t="str">
        <f aca="false">IF($A54="","",INDEX('AVALIAÇÃO MAPA'!$AQ$6:$AQ$105,MATCH($A54,'AVALIAÇÃO MAPA'!$AU$6:$AU$105,0)))</f>
        <v/>
      </c>
      <c r="K54" s="15" t="str">
        <f aca="false">IF($A54="","",INDEX('AVALIAÇÃO MAPA'!$AR$6:$AR$105,MATCH($A54,'AVALIAÇÃO MAPA'!$AU$6:$AU$105,0)))</f>
        <v/>
      </c>
      <c r="L54" s="15" t="str">
        <f aca="false">IF($A54="","",INDEX('AVALIAÇÃO MAPA'!$AT$6:$AT$105,MATCH($A54,'AVALIAÇÃO MAPA'!$AU$6:$AU$105,0)))</f>
        <v/>
      </c>
      <c r="M54" s="15" t="str">
        <f aca="false">IF($A54="","",INDEX('AVALIAÇÃO MAPA'!$AW$6:$AW$105,MATCH($A54,'AVALIAÇÃO MAPA'!$AU$6:$AU$105,0)))</f>
        <v/>
      </c>
      <c r="N54" s="27" t="str">
        <f aca="false">IF($A54="","",INDEX('AVALIAÇÃO MAPA'!$BB$6:$BB$105,MATCH($A54,'AVALIAÇÃO MAPA'!$AU$6:$AU$105,0)))</f>
        <v/>
      </c>
      <c r="W54" s="32" t="n">
        <v>49</v>
      </c>
      <c r="X54" s="32" t="n">
        <f aca="false">IF(AND('AVALIAÇÃO MAPA'!AN54&lt;&gt;"",'AVALIAÇÃO MAPA'!D54=1),'AVALIAÇÃO MAPA'!AM54,-1)</f>
        <v>-1</v>
      </c>
      <c r="Y54" s="32" t="n">
        <f aca="false">IF(AND('AVALIAÇÃO MAPA'!AN54&lt;&gt;"",'AVALIAÇÃO MAPA'!D54=1),'AVALIAÇÃO MAPA'!AJ54,-1)</f>
        <v>-1</v>
      </c>
      <c r="Z54" s="32" t="str">
        <f aca="false">'AVALIAÇÃO MAPA'!AS54</f>
        <v/>
      </c>
      <c r="AA54" s="32" t="str">
        <f aca="false">'AVALIAÇÃO MAPA'!AP54</f>
        <v/>
      </c>
      <c r="AB54" s="32" t="n">
        <f aca="false">IF(Z54="Fazer primeiro",Y54,-1)</f>
        <v>-1</v>
      </c>
      <c r="AC54" s="32" t="n">
        <f aca="false">IF(Z54="Projeto estratégico",Y54,-1)</f>
        <v>-1</v>
      </c>
      <c r="AD54" s="32" t="n">
        <f aca="false">IF(Z54="Quick win",Y54,-1)</f>
        <v>-1</v>
      </c>
      <c r="AE54" s="32" t="n">
        <f aca="false">IF(Z54="Evitar",Y54,-1)</f>
        <v>-1</v>
      </c>
      <c r="AF54" s="32" t="n">
        <f aca="false">IF(AA54="SIM",Y54,-1)</f>
        <v>-1</v>
      </c>
    </row>
    <row r="55" customFormat="false" ht="15" hidden="false" customHeight="false" outlineLevel="0" collapsed="false">
      <c r="A55" s="15" t="str">
        <f aca="false">IF(COUNT('AVALIAÇÃO MAPA'!$AU$6:$AU$105)&gt;=50,50,"")</f>
        <v/>
      </c>
      <c r="B55" s="15" t="str">
        <f aca="false">IF($A55="","",INDEX('AVALIAÇÃO MAPA'!$A$6:$A$105,MATCH($A55,'AVALIAÇÃO MAPA'!$AU$6:$AU$105,0)))</f>
        <v/>
      </c>
      <c r="C55" s="18" t="str">
        <f aca="false">IF($A55="","",INDEX('AVALIAÇÃO MAPA'!$B$6:$B$105,MATCH($A55,'AVALIAÇÃO MAPA'!$AU$6:$AU$105,0)))</f>
        <v/>
      </c>
      <c r="D55" s="15" t="str">
        <f aca="false">IF($A55="","",INDEX('AVALIAÇÃO MAPA'!$C$6:$C$105,MATCH($A55,'AVALIAÇÃO MAPA'!$AU$6:$AU$105,0)))</f>
        <v/>
      </c>
      <c r="E55" s="35" t="str">
        <f aca="false">IF($A55="","",INDEX('AVALIAÇÃO MAPA'!$AN$6:$AN$105,MATCH($A55,'AVALIAÇÃO MAPA'!$AU$6:$AU$105,0)))</f>
        <v/>
      </c>
      <c r="F55" s="29" t="str">
        <f aca="false">IF($A55="","",INDEX('AVALIAÇÃO MAPA'!$AJ$6:$AJ$105,MATCH($A55,'AVALIAÇÃO MAPA'!$AU$6:$AU$105,0)))</f>
        <v/>
      </c>
      <c r="G55" s="29" t="str">
        <f aca="false">IF($A55="","",INDEX('AVALIAÇÃO MAPA'!$AM$6:$AM$105,MATCH($A55,'AVALIAÇÃO MAPA'!$AU$6:$AU$105,0)))</f>
        <v/>
      </c>
      <c r="H55" s="15" t="str">
        <f aca="false">IF($A55="","",INDEX('AVALIAÇÃO MAPA'!$AS$6:$AS$105,MATCH($A55,'AVALIAÇÃO MAPA'!$AU$6:$AU$105,0)))</f>
        <v/>
      </c>
      <c r="I55" s="15" t="str">
        <f aca="false">IF($A55="","",INDEX('AVALIAÇÃO MAPA'!$AP$6:$AP$105,MATCH($A55,'AVALIAÇÃO MAPA'!$AU$6:$AU$105,0)))</f>
        <v/>
      </c>
      <c r="J55" s="15" t="str">
        <f aca="false">IF($A55="","",INDEX('AVALIAÇÃO MAPA'!$AQ$6:$AQ$105,MATCH($A55,'AVALIAÇÃO MAPA'!$AU$6:$AU$105,0)))</f>
        <v/>
      </c>
      <c r="K55" s="15" t="str">
        <f aca="false">IF($A55="","",INDEX('AVALIAÇÃO MAPA'!$AR$6:$AR$105,MATCH($A55,'AVALIAÇÃO MAPA'!$AU$6:$AU$105,0)))</f>
        <v/>
      </c>
      <c r="L55" s="15" t="str">
        <f aca="false">IF($A55="","",INDEX('AVALIAÇÃO MAPA'!$AT$6:$AT$105,MATCH($A55,'AVALIAÇÃO MAPA'!$AU$6:$AU$105,0)))</f>
        <v/>
      </c>
      <c r="M55" s="15" t="str">
        <f aca="false">IF($A55="","",INDEX('AVALIAÇÃO MAPA'!$AW$6:$AW$105,MATCH($A55,'AVALIAÇÃO MAPA'!$AU$6:$AU$105,0)))</f>
        <v/>
      </c>
      <c r="N55" s="27" t="str">
        <f aca="false">IF($A55="","",INDEX('AVALIAÇÃO MAPA'!$BB$6:$BB$105,MATCH($A55,'AVALIAÇÃO MAPA'!$AU$6:$AU$105,0)))</f>
        <v/>
      </c>
      <c r="W55" s="32" t="n">
        <v>50</v>
      </c>
      <c r="X55" s="32" t="n">
        <f aca="false">IF(AND('AVALIAÇÃO MAPA'!AN55&lt;&gt;"",'AVALIAÇÃO MAPA'!D55=1),'AVALIAÇÃO MAPA'!AM55,-1)</f>
        <v>-1</v>
      </c>
      <c r="Y55" s="32" t="n">
        <f aca="false">IF(AND('AVALIAÇÃO MAPA'!AN55&lt;&gt;"",'AVALIAÇÃO MAPA'!D55=1),'AVALIAÇÃO MAPA'!AJ55,-1)</f>
        <v>-1</v>
      </c>
      <c r="Z55" s="32" t="str">
        <f aca="false">'AVALIAÇÃO MAPA'!AS55</f>
        <v/>
      </c>
      <c r="AA55" s="32" t="str">
        <f aca="false">'AVALIAÇÃO MAPA'!AP55</f>
        <v/>
      </c>
      <c r="AB55" s="32" t="n">
        <f aca="false">IF(Z55="Fazer primeiro",Y55,-1)</f>
        <v>-1</v>
      </c>
      <c r="AC55" s="32" t="n">
        <f aca="false">IF(Z55="Projeto estratégico",Y55,-1)</f>
        <v>-1</v>
      </c>
      <c r="AD55" s="32" t="n">
        <f aca="false">IF(Z55="Quick win",Y55,-1)</f>
        <v>-1</v>
      </c>
      <c r="AE55" s="32" t="n">
        <f aca="false">IF(Z55="Evitar",Y55,-1)</f>
        <v>-1</v>
      </c>
      <c r="AF55" s="32" t="n">
        <f aca="false">IF(AA55="SIM",Y55,-1)</f>
        <v>-1</v>
      </c>
    </row>
    <row r="56" customFormat="false" ht="15" hidden="false" customHeight="false" outlineLevel="0" collapsed="false">
      <c r="A56" s="15" t="str">
        <f aca="false">IF(COUNT('AVALIAÇÃO MAPA'!$AU$6:$AU$105)&gt;=51,51,"")</f>
        <v/>
      </c>
      <c r="B56" s="15" t="str">
        <f aca="false">IF($A56="","",INDEX('AVALIAÇÃO MAPA'!$A$6:$A$105,MATCH($A56,'AVALIAÇÃO MAPA'!$AU$6:$AU$105,0)))</f>
        <v/>
      </c>
      <c r="C56" s="18" t="str">
        <f aca="false">IF($A56="","",INDEX('AVALIAÇÃO MAPA'!$B$6:$B$105,MATCH($A56,'AVALIAÇÃO MAPA'!$AU$6:$AU$105,0)))</f>
        <v/>
      </c>
      <c r="D56" s="15" t="str">
        <f aca="false">IF($A56="","",INDEX('AVALIAÇÃO MAPA'!$C$6:$C$105,MATCH($A56,'AVALIAÇÃO MAPA'!$AU$6:$AU$105,0)))</f>
        <v/>
      </c>
      <c r="E56" s="35" t="str">
        <f aca="false">IF($A56="","",INDEX('AVALIAÇÃO MAPA'!$AN$6:$AN$105,MATCH($A56,'AVALIAÇÃO MAPA'!$AU$6:$AU$105,0)))</f>
        <v/>
      </c>
      <c r="F56" s="29" t="str">
        <f aca="false">IF($A56="","",INDEX('AVALIAÇÃO MAPA'!$AJ$6:$AJ$105,MATCH($A56,'AVALIAÇÃO MAPA'!$AU$6:$AU$105,0)))</f>
        <v/>
      </c>
      <c r="G56" s="29" t="str">
        <f aca="false">IF($A56="","",INDEX('AVALIAÇÃO MAPA'!$AM$6:$AM$105,MATCH($A56,'AVALIAÇÃO MAPA'!$AU$6:$AU$105,0)))</f>
        <v/>
      </c>
      <c r="H56" s="15" t="str">
        <f aca="false">IF($A56="","",INDEX('AVALIAÇÃO MAPA'!$AS$6:$AS$105,MATCH($A56,'AVALIAÇÃO MAPA'!$AU$6:$AU$105,0)))</f>
        <v/>
      </c>
      <c r="I56" s="15" t="str">
        <f aca="false">IF($A56="","",INDEX('AVALIAÇÃO MAPA'!$AP$6:$AP$105,MATCH($A56,'AVALIAÇÃO MAPA'!$AU$6:$AU$105,0)))</f>
        <v/>
      </c>
      <c r="J56" s="15" t="str">
        <f aca="false">IF($A56="","",INDEX('AVALIAÇÃO MAPA'!$AQ$6:$AQ$105,MATCH($A56,'AVALIAÇÃO MAPA'!$AU$6:$AU$105,0)))</f>
        <v/>
      </c>
      <c r="K56" s="15" t="str">
        <f aca="false">IF($A56="","",INDEX('AVALIAÇÃO MAPA'!$AR$6:$AR$105,MATCH($A56,'AVALIAÇÃO MAPA'!$AU$6:$AU$105,0)))</f>
        <v/>
      </c>
      <c r="L56" s="15" t="str">
        <f aca="false">IF($A56="","",INDEX('AVALIAÇÃO MAPA'!$AT$6:$AT$105,MATCH($A56,'AVALIAÇÃO MAPA'!$AU$6:$AU$105,0)))</f>
        <v/>
      </c>
      <c r="M56" s="15" t="str">
        <f aca="false">IF($A56="","",INDEX('AVALIAÇÃO MAPA'!$AW$6:$AW$105,MATCH($A56,'AVALIAÇÃO MAPA'!$AU$6:$AU$105,0)))</f>
        <v/>
      </c>
      <c r="N56" s="27" t="str">
        <f aca="false">IF($A56="","",INDEX('AVALIAÇÃO MAPA'!$BB$6:$BB$105,MATCH($A56,'AVALIAÇÃO MAPA'!$AU$6:$AU$105,0)))</f>
        <v/>
      </c>
      <c r="W56" s="32" t="n">
        <v>51</v>
      </c>
      <c r="X56" s="32" t="n">
        <f aca="false">IF(AND('AVALIAÇÃO MAPA'!AN56&lt;&gt;"",'AVALIAÇÃO MAPA'!D56=1),'AVALIAÇÃO MAPA'!AM56,-1)</f>
        <v>-1</v>
      </c>
      <c r="Y56" s="32" t="n">
        <f aca="false">IF(AND('AVALIAÇÃO MAPA'!AN56&lt;&gt;"",'AVALIAÇÃO MAPA'!D56=1),'AVALIAÇÃO MAPA'!AJ56,-1)</f>
        <v>-1</v>
      </c>
      <c r="Z56" s="32" t="str">
        <f aca="false">'AVALIAÇÃO MAPA'!AS56</f>
        <v/>
      </c>
      <c r="AA56" s="32" t="str">
        <f aca="false">'AVALIAÇÃO MAPA'!AP56</f>
        <v/>
      </c>
      <c r="AB56" s="32" t="n">
        <f aca="false">IF(Z56="Fazer primeiro",Y56,-1)</f>
        <v>-1</v>
      </c>
      <c r="AC56" s="32" t="n">
        <f aca="false">IF(Z56="Projeto estratégico",Y56,-1)</f>
        <v>-1</v>
      </c>
      <c r="AD56" s="32" t="n">
        <f aca="false">IF(Z56="Quick win",Y56,-1)</f>
        <v>-1</v>
      </c>
      <c r="AE56" s="32" t="n">
        <f aca="false">IF(Z56="Evitar",Y56,-1)</f>
        <v>-1</v>
      </c>
      <c r="AF56" s="32" t="n">
        <f aca="false">IF(AA56="SIM",Y56,-1)</f>
        <v>-1</v>
      </c>
    </row>
    <row r="57" customFormat="false" ht="15" hidden="false" customHeight="false" outlineLevel="0" collapsed="false">
      <c r="A57" s="15" t="str">
        <f aca="false">IF(COUNT('AVALIAÇÃO MAPA'!$AU$6:$AU$105)&gt;=52,52,"")</f>
        <v/>
      </c>
      <c r="B57" s="15" t="str">
        <f aca="false">IF($A57="","",INDEX('AVALIAÇÃO MAPA'!$A$6:$A$105,MATCH($A57,'AVALIAÇÃO MAPA'!$AU$6:$AU$105,0)))</f>
        <v/>
      </c>
      <c r="C57" s="18" t="str">
        <f aca="false">IF($A57="","",INDEX('AVALIAÇÃO MAPA'!$B$6:$B$105,MATCH($A57,'AVALIAÇÃO MAPA'!$AU$6:$AU$105,0)))</f>
        <v/>
      </c>
      <c r="D57" s="15" t="str">
        <f aca="false">IF($A57="","",INDEX('AVALIAÇÃO MAPA'!$C$6:$C$105,MATCH($A57,'AVALIAÇÃO MAPA'!$AU$6:$AU$105,0)))</f>
        <v/>
      </c>
      <c r="E57" s="35" t="str">
        <f aca="false">IF($A57="","",INDEX('AVALIAÇÃO MAPA'!$AN$6:$AN$105,MATCH($A57,'AVALIAÇÃO MAPA'!$AU$6:$AU$105,0)))</f>
        <v/>
      </c>
      <c r="F57" s="29" t="str">
        <f aca="false">IF($A57="","",INDEX('AVALIAÇÃO MAPA'!$AJ$6:$AJ$105,MATCH($A57,'AVALIAÇÃO MAPA'!$AU$6:$AU$105,0)))</f>
        <v/>
      </c>
      <c r="G57" s="29" t="str">
        <f aca="false">IF($A57="","",INDEX('AVALIAÇÃO MAPA'!$AM$6:$AM$105,MATCH($A57,'AVALIAÇÃO MAPA'!$AU$6:$AU$105,0)))</f>
        <v/>
      </c>
      <c r="H57" s="15" t="str">
        <f aca="false">IF($A57="","",INDEX('AVALIAÇÃO MAPA'!$AS$6:$AS$105,MATCH($A57,'AVALIAÇÃO MAPA'!$AU$6:$AU$105,0)))</f>
        <v/>
      </c>
      <c r="I57" s="15" t="str">
        <f aca="false">IF($A57="","",INDEX('AVALIAÇÃO MAPA'!$AP$6:$AP$105,MATCH($A57,'AVALIAÇÃO MAPA'!$AU$6:$AU$105,0)))</f>
        <v/>
      </c>
      <c r="J57" s="15" t="str">
        <f aca="false">IF($A57="","",INDEX('AVALIAÇÃO MAPA'!$AQ$6:$AQ$105,MATCH($A57,'AVALIAÇÃO MAPA'!$AU$6:$AU$105,0)))</f>
        <v/>
      </c>
      <c r="K57" s="15" t="str">
        <f aca="false">IF($A57="","",INDEX('AVALIAÇÃO MAPA'!$AR$6:$AR$105,MATCH($A57,'AVALIAÇÃO MAPA'!$AU$6:$AU$105,0)))</f>
        <v/>
      </c>
      <c r="L57" s="15" t="str">
        <f aca="false">IF($A57="","",INDEX('AVALIAÇÃO MAPA'!$AT$6:$AT$105,MATCH($A57,'AVALIAÇÃO MAPA'!$AU$6:$AU$105,0)))</f>
        <v/>
      </c>
      <c r="M57" s="15" t="str">
        <f aca="false">IF($A57="","",INDEX('AVALIAÇÃO MAPA'!$AW$6:$AW$105,MATCH($A57,'AVALIAÇÃO MAPA'!$AU$6:$AU$105,0)))</f>
        <v/>
      </c>
      <c r="N57" s="27" t="str">
        <f aca="false">IF($A57="","",INDEX('AVALIAÇÃO MAPA'!$BB$6:$BB$105,MATCH($A57,'AVALIAÇÃO MAPA'!$AU$6:$AU$105,0)))</f>
        <v/>
      </c>
      <c r="W57" s="32" t="n">
        <v>52</v>
      </c>
      <c r="X57" s="32" t="n">
        <f aca="false">IF(AND('AVALIAÇÃO MAPA'!AN57&lt;&gt;"",'AVALIAÇÃO MAPA'!D57=1),'AVALIAÇÃO MAPA'!AM57,-1)</f>
        <v>-1</v>
      </c>
      <c r="Y57" s="32" t="n">
        <f aca="false">IF(AND('AVALIAÇÃO MAPA'!AN57&lt;&gt;"",'AVALIAÇÃO MAPA'!D57=1),'AVALIAÇÃO MAPA'!AJ57,-1)</f>
        <v>-1</v>
      </c>
      <c r="Z57" s="32" t="str">
        <f aca="false">'AVALIAÇÃO MAPA'!AS57</f>
        <v/>
      </c>
      <c r="AA57" s="32" t="str">
        <f aca="false">'AVALIAÇÃO MAPA'!AP57</f>
        <v/>
      </c>
      <c r="AB57" s="32" t="n">
        <f aca="false">IF(Z57="Fazer primeiro",Y57,-1)</f>
        <v>-1</v>
      </c>
      <c r="AC57" s="32" t="n">
        <f aca="false">IF(Z57="Projeto estratégico",Y57,-1)</f>
        <v>-1</v>
      </c>
      <c r="AD57" s="32" t="n">
        <f aca="false">IF(Z57="Quick win",Y57,-1)</f>
        <v>-1</v>
      </c>
      <c r="AE57" s="32" t="n">
        <f aca="false">IF(Z57="Evitar",Y57,-1)</f>
        <v>-1</v>
      </c>
      <c r="AF57" s="32" t="n">
        <f aca="false">IF(AA57="SIM",Y57,-1)</f>
        <v>-1</v>
      </c>
    </row>
    <row r="58" customFormat="false" ht="15" hidden="false" customHeight="false" outlineLevel="0" collapsed="false">
      <c r="A58" s="15" t="str">
        <f aca="false">IF(COUNT('AVALIAÇÃO MAPA'!$AU$6:$AU$105)&gt;=53,53,"")</f>
        <v/>
      </c>
      <c r="B58" s="15" t="str">
        <f aca="false">IF($A58="","",INDEX('AVALIAÇÃO MAPA'!$A$6:$A$105,MATCH($A58,'AVALIAÇÃO MAPA'!$AU$6:$AU$105,0)))</f>
        <v/>
      </c>
      <c r="C58" s="18" t="str">
        <f aca="false">IF($A58="","",INDEX('AVALIAÇÃO MAPA'!$B$6:$B$105,MATCH($A58,'AVALIAÇÃO MAPA'!$AU$6:$AU$105,0)))</f>
        <v/>
      </c>
      <c r="D58" s="15" t="str">
        <f aca="false">IF($A58="","",INDEX('AVALIAÇÃO MAPA'!$C$6:$C$105,MATCH($A58,'AVALIAÇÃO MAPA'!$AU$6:$AU$105,0)))</f>
        <v/>
      </c>
      <c r="E58" s="35" t="str">
        <f aca="false">IF($A58="","",INDEX('AVALIAÇÃO MAPA'!$AN$6:$AN$105,MATCH($A58,'AVALIAÇÃO MAPA'!$AU$6:$AU$105,0)))</f>
        <v/>
      </c>
      <c r="F58" s="29" t="str">
        <f aca="false">IF($A58="","",INDEX('AVALIAÇÃO MAPA'!$AJ$6:$AJ$105,MATCH($A58,'AVALIAÇÃO MAPA'!$AU$6:$AU$105,0)))</f>
        <v/>
      </c>
      <c r="G58" s="29" t="str">
        <f aca="false">IF($A58="","",INDEX('AVALIAÇÃO MAPA'!$AM$6:$AM$105,MATCH($A58,'AVALIAÇÃO MAPA'!$AU$6:$AU$105,0)))</f>
        <v/>
      </c>
      <c r="H58" s="15" t="str">
        <f aca="false">IF($A58="","",INDEX('AVALIAÇÃO MAPA'!$AS$6:$AS$105,MATCH($A58,'AVALIAÇÃO MAPA'!$AU$6:$AU$105,0)))</f>
        <v/>
      </c>
      <c r="I58" s="15" t="str">
        <f aca="false">IF($A58="","",INDEX('AVALIAÇÃO MAPA'!$AP$6:$AP$105,MATCH($A58,'AVALIAÇÃO MAPA'!$AU$6:$AU$105,0)))</f>
        <v/>
      </c>
      <c r="J58" s="15" t="str">
        <f aca="false">IF($A58="","",INDEX('AVALIAÇÃO MAPA'!$AQ$6:$AQ$105,MATCH($A58,'AVALIAÇÃO MAPA'!$AU$6:$AU$105,0)))</f>
        <v/>
      </c>
      <c r="K58" s="15" t="str">
        <f aca="false">IF($A58="","",INDEX('AVALIAÇÃO MAPA'!$AR$6:$AR$105,MATCH($A58,'AVALIAÇÃO MAPA'!$AU$6:$AU$105,0)))</f>
        <v/>
      </c>
      <c r="L58" s="15" t="str">
        <f aca="false">IF($A58="","",INDEX('AVALIAÇÃO MAPA'!$AT$6:$AT$105,MATCH($A58,'AVALIAÇÃO MAPA'!$AU$6:$AU$105,0)))</f>
        <v/>
      </c>
      <c r="M58" s="15" t="str">
        <f aca="false">IF($A58="","",INDEX('AVALIAÇÃO MAPA'!$AW$6:$AW$105,MATCH($A58,'AVALIAÇÃO MAPA'!$AU$6:$AU$105,0)))</f>
        <v/>
      </c>
      <c r="N58" s="27" t="str">
        <f aca="false">IF($A58="","",INDEX('AVALIAÇÃO MAPA'!$BB$6:$BB$105,MATCH($A58,'AVALIAÇÃO MAPA'!$AU$6:$AU$105,0)))</f>
        <v/>
      </c>
      <c r="W58" s="32" t="n">
        <v>53</v>
      </c>
      <c r="X58" s="32" t="n">
        <f aca="false">IF(AND('AVALIAÇÃO MAPA'!AN58&lt;&gt;"",'AVALIAÇÃO MAPA'!D58=1),'AVALIAÇÃO MAPA'!AM58,-1)</f>
        <v>-1</v>
      </c>
      <c r="Y58" s="32" t="n">
        <f aca="false">IF(AND('AVALIAÇÃO MAPA'!AN58&lt;&gt;"",'AVALIAÇÃO MAPA'!D58=1),'AVALIAÇÃO MAPA'!AJ58,-1)</f>
        <v>-1</v>
      </c>
      <c r="Z58" s="32" t="str">
        <f aca="false">'AVALIAÇÃO MAPA'!AS58</f>
        <v/>
      </c>
      <c r="AA58" s="32" t="str">
        <f aca="false">'AVALIAÇÃO MAPA'!AP58</f>
        <v/>
      </c>
      <c r="AB58" s="32" t="n">
        <f aca="false">IF(Z58="Fazer primeiro",Y58,-1)</f>
        <v>-1</v>
      </c>
      <c r="AC58" s="32" t="n">
        <f aca="false">IF(Z58="Projeto estratégico",Y58,-1)</f>
        <v>-1</v>
      </c>
      <c r="AD58" s="32" t="n">
        <f aca="false">IF(Z58="Quick win",Y58,-1)</f>
        <v>-1</v>
      </c>
      <c r="AE58" s="32" t="n">
        <f aca="false">IF(Z58="Evitar",Y58,-1)</f>
        <v>-1</v>
      </c>
      <c r="AF58" s="32" t="n">
        <f aca="false">IF(AA58="SIM",Y58,-1)</f>
        <v>-1</v>
      </c>
    </row>
    <row r="59" customFormat="false" ht="15" hidden="false" customHeight="false" outlineLevel="0" collapsed="false">
      <c r="A59" s="15" t="str">
        <f aca="false">IF(COUNT('AVALIAÇÃO MAPA'!$AU$6:$AU$105)&gt;=54,54,"")</f>
        <v/>
      </c>
      <c r="B59" s="15" t="str">
        <f aca="false">IF($A59="","",INDEX('AVALIAÇÃO MAPA'!$A$6:$A$105,MATCH($A59,'AVALIAÇÃO MAPA'!$AU$6:$AU$105,0)))</f>
        <v/>
      </c>
      <c r="C59" s="18" t="str">
        <f aca="false">IF($A59="","",INDEX('AVALIAÇÃO MAPA'!$B$6:$B$105,MATCH($A59,'AVALIAÇÃO MAPA'!$AU$6:$AU$105,0)))</f>
        <v/>
      </c>
      <c r="D59" s="15" t="str">
        <f aca="false">IF($A59="","",INDEX('AVALIAÇÃO MAPA'!$C$6:$C$105,MATCH($A59,'AVALIAÇÃO MAPA'!$AU$6:$AU$105,0)))</f>
        <v/>
      </c>
      <c r="E59" s="35" t="str">
        <f aca="false">IF($A59="","",INDEX('AVALIAÇÃO MAPA'!$AN$6:$AN$105,MATCH($A59,'AVALIAÇÃO MAPA'!$AU$6:$AU$105,0)))</f>
        <v/>
      </c>
      <c r="F59" s="29" t="str">
        <f aca="false">IF($A59="","",INDEX('AVALIAÇÃO MAPA'!$AJ$6:$AJ$105,MATCH($A59,'AVALIAÇÃO MAPA'!$AU$6:$AU$105,0)))</f>
        <v/>
      </c>
      <c r="G59" s="29" t="str">
        <f aca="false">IF($A59="","",INDEX('AVALIAÇÃO MAPA'!$AM$6:$AM$105,MATCH($A59,'AVALIAÇÃO MAPA'!$AU$6:$AU$105,0)))</f>
        <v/>
      </c>
      <c r="H59" s="15" t="str">
        <f aca="false">IF($A59="","",INDEX('AVALIAÇÃO MAPA'!$AS$6:$AS$105,MATCH($A59,'AVALIAÇÃO MAPA'!$AU$6:$AU$105,0)))</f>
        <v/>
      </c>
      <c r="I59" s="15" t="str">
        <f aca="false">IF($A59="","",INDEX('AVALIAÇÃO MAPA'!$AP$6:$AP$105,MATCH($A59,'AVALIAÇÃO MAPA'!$AU$6:$AU$105,0)))</f>
        <v/>
      </c>
      <c r="J59" s="15" t="str">
        <f aca="false">IF($A59="","",INDEX('AVALIAÇÃO MAPA'!$AQ$6:$AQ$105,MATCH($A59,'AVALIAÇÃO MAPA'!$AU$6:$AU$105,0)))</f>
        <v/>
      </c>
      <c r="K59" s="15" t="str">
        <f aca="false">IF($A59="","",INDEX('AVALIAÇÃO MAPA'!$AR$6:$AR$105,MATCH($A59,'AVALIAÇÃO MAPA'!$AU$6:$AU$105,0)))</f>
        <v/>
      </c>
      <c r="L59" s="15" t="str">
        <f aca="false">IF($A59="","",INDEX('AVALIAÇÃO MAPA'!$AT$6:$AT$105,MATCH($A59,'AVALIAÇÃO MAPA'!$AU$6:$AU$105,0)))</f>
        <v/>
      </c>
      <c r="M59" s="15" t="str">
        <f aca="false">IF($A59="","",INDEX('AVALIAÇÃO MAPA'!$AW$6:$AW$105,MATCH($A59,'AVALIAÇÃO MAPA'!$AU$6:$AU$105,0)))</f>
        <v/>
      </c>
      <c r="N59" s="27" t="str">
        <f aca="false">IF($A59="","",INDEX('AVALIAÇÃO MAPA'!$BB$6:$BB$105,MATCH($A59,'AVALIAÇÃO MAPA'!$AU$6:$AU$105,0)))</f>
        <v/>
      </c>
      <c r="W59" s="32" t="n">
        <v>54</v>
      </c>
      <c r="X59" s="32" t="n">
        <f aca="false">IF(AND('AVALIAÇÃO MAPA'!AN59&lt;&gt;"",'AVALIAÇÃO MAPA'!D59=1),'AVALIAÇÃO MAPA'!AM59,-1)</f>
        <v>-1</v>
      </c>
      <c r="Y59" s="32" t="n">
        <f aca="false">IF(AND('AVALIAÇÃO MAPA'!AN59&lt;&gt;"",'AVALIAÇÃO MAPA'!D59=1),'AVALIAÇÃO MAPA'!AJ59,-1)</f>
        <v>-1</v>
      </c>
      <c r="Z59" s="32" t="str">
        <f aca="false">'AVALIAÇÃO MAPA'!AS59</f>
        <v/>
      </c>
      <c r="AA59" s="32" t="str">
        <f aca="false">'AVALIAÇÃO MAPA'!AP59</f>
        <v/>
      </c>
      <c r="AB59" s="32" t="n">
        <f aca="false">IF(Z59="Fazer primeiro",Y59,-1)</f>
        <v>-1</v>
      </c>
      <c r="AC59" s="32" t="n">
        <f aca="false">IF(Z59="Projeto estratégico",Y59,-1)</f>
        <v>-1</v>
      </c>
      <c r="AD59" s="32" t="n">
        <f aca="false">IF(Z59="Quick win",Y59,-1)</f>
        <v>-1</v>
      </c>
      <c r="AE59" s="32" t="n">
        <f aca="false">IF(Z59="Evitar",Y59,-1)</f>
        <v>-1</v>
      </c>
      <c r="AF59" s="32" t="n">
        <f aca="false">IF(AA59="SIM",Y59,-1)</f>
        <v>-1</v>
      </c>
    </row>
    <row r="60" customFormat="false" ht="15" hidden="false" customHeight="false" outlineLevel="0" collapsed="false">
      <c r="A60" s="15" t="str">
        <f aca="false">IF(COUNT('AVALIAÇÃO MAPA'!$AU$6:$AU$105)&gt;=55,55,"")</f>
        <v/>
      </c>
      <c r="B60" s="15" t="str">
        <f aca="false">IF($A60="","",INDEX('AVALIAÇÃO MAPA'!$A$6:$A$105,MATCH($A60,'AVALIAÇÃO MAPA'!$AU$6:$AU$105,0)))</f>
        <v/>
      </c>
      <c r="C60" s="18" t="str">
        <f aca="false">IF($A60="","",INDEX('AVALIAÇÃO MAPA'!$B$6:$B$105,MATCH($A60,'AVALIAÇÃO MAPA'!$AU$6:$AU$105,0)))</f>
        <v/>
      </c>
      <c r="D60" s="15" t="str">
        <f aca="false">IF($A60="","",INDEX('AVALIAÇÃO MAPA'!$C$6:$C$105,MATCH($A60,'AVALIAÇÃO MAPA'!$AU$6:$AU$105,0)))</f>
        <v/>
      </c>
      <c r="E60" s="35" t="str">
        <f aca="false">IF($A60="","",INDEX('AVALIAÇÃO MAPA'!$AN$6:$AN$105,MATCH($A60,'AVALIAÇÃO MAPA'!$AU$6:$AU$105,0)))</f>
        <v/>
      </c>
      <c r="F60" s="29" t="str">
        <f aca="false">IF($A60="","",INDEX('AVALIAÇÃO MAPA'!$AJ$6:$AJ$105,MATCH($A60,'AVALIAÇÃO MAPA'!$AU$6:$AU$105,0)))</f>
        <v/>
      </c>
      <c r="G60" s="29" t="str">
        <f aca="false">IF($A60="","",INDEX('AVALIAÇÃO MAPA'!$AM$6:$AM$105,MATCH($A60,'AVALIAÇÃO MAPA'!$AU$6:$AU$105,0)))</f>
        <v/>
      </c>
      <c r="H60" s="15" t="str">
        <f aca="false">IF($A60="","",INDEX('AVALIAÇÃO MAPA'!$AS$6:$AS$105,MATCH($A60,'AVALIAÇÃO MAPA'!$AU$6:$AU$105,0)))</f>
        <v/>
      </c>
      <c r="I60" s="15" t="str">
        <f aca="false">IF($A60="","",INDEX('AVALIAÇÃO MAPA'!$AP$6:$AP$105,MATCH($A60,'AVALIAÇÃO MAPA'!$AU$6:$AU$105,0)))</f>
        <v/>
      </c>
      <c r="J60" s="15" t="str">
        <f aca="false">IF($A60="","",INDEX('AVALIAÇÃO MAPA'!$AQ$6:$AQ$105,MATCH($A60,'AVALIAÇÃO MAPA'!$AU$6:$AU$105,0)))</f>
        <v/>
      </c>
      <c r="K60" s="15" t="str">
        <f aca="false">IF($A60="","",INDEX('AVALIAÇÃO MAPA'!$AR$6:$AR$105,MATCH($A60,'AVALIAÇÃO MAPA'!$AU$6:$AU$105,0)))</f>
        <v/>
      </c>
      <c r="L60" s="15" t="str">
        <f aca="false">IF($A60="","",INDEX('AVALIAÇÃO MAPA'!$AT$6:$AT$105,MATCH($A60,'AVALIAÇÃO MAPA'!$AU$6:$AU$105,0)))</f>
        <v/>
      </c>
      <c r="M60" s="15" t="str">
        <f aca="false">IF($A60="","",INDEX('AVALIAÇÃO MAPA'!$AW$6:$AW$105,MATCH($A60,'AVALIAÇÃO MAPA'!$AU$6:$AU$105,0)))</f>
        <v/>
      </c>
      <c r="N60" s="27" t="str">
        <f aca="false">IF($A60="","",INDEX('AVALIAÇÃO MAPA'!$BB$6:$BB$105,MATCH($A60,'AVALIAÇÃO MAPA'!$AU$6:$AU$105,0)))</f>
        <v/>
      </c>
      <c r="W60" s="32" t="n">
        <v>55</v>
      </c>
      <c r="X60" s="32" t="n">
        <f aca="false">IF(AND('AVALIAÇÃO MAPA'!AN60&lt;&gt;"",'AVALIAÇÃO MAPA'!D60=1),'AVALIAÇÃO MAPA'!AM60,-1)</f>
        <v>-1</v>
      </c>
      <c r="Y60" s="32" t="n">
        <f aca="false">IF(AND('AVALIAÇÃO MAPA'!AN60&lt;&gt;"",'AVALIAÇÃO MAPA'!D60=1),'AVALIAÇÃO MAPA'!AJ60,-1)</f>
        <v>-1</v>
      </c>
      <c r="Z60" s="32" t="str">
        <f aca="false">'AVALIAÇÃO MAPA'!AS60</f>
        <v/>
      </c>
      <c r="AA60" s="32" t="str">
        <f aca="false">'AVALIAÇÃO MAPA'!AP60</f>
        <v/>
      </c>
      <c r="AB60" s="32" t="n">
        <f aca="false">IF(Z60="Fazer primeiro",Y60,-1)</f>
        <v>-1</v>
      </c>
      <c r="AC60" s="32" t="n">
        <f aca="false">IF(Z60="Projeto estratégico",Y60,-1)</f>
        <v>-1</v>
      </c>
      <c r="AD60" s="32" t="n">
        <f aca="false">IF(Z60="Quick win",Y60,-1)</f>
        <v>-1</v>
      </c>
      <c r="AE60" s="32" t="n">
        <f aca="false">IF(Z60="Evitar",Y60,-1)</f>
        <v>-1</v>
      </c>
      <c r="AF60" s="32" t="n">
        <f aca="false">IF(AA60="SIM",Y60,-1)</f>
        <v>-1</v>
      </c>
    </row>
    <row r="61" customFormat="false" ht="15" hidden="false" customHeight="false" outlineLevel="0" collapsed="false">
      <c r="A61" s="15" t="str">
        <f aca="false">IF(COUNT('AVALIAÇÃO MAPA'!$AU$6:$AU$105)&gt;=56,56,"")</f>
        <v/>
      </c>
      <c r="B61" s="15" t="str">
        <f aca="false">IF($A61="","",INDEX('AVALIAÇÃO MAPA'!$A$6:$A$105,MATCH($A61,'AVALIAÇÃO MAPA'!$AU$6:$AU$105,0)))</f>
        <v/>
      </c>
      <c r="C61" s="18" t="str">
        <f aca="false">IF($A61="","",INDEX('AVALIAÇÃO MAPA'!$B$6:$B$105,MATCH($A61,'AVALIAÇÃO MAPA'!$AU$6:$AU$105,0)))</f>
        <v/>
      </c>
      <c r="D61" s="15" t="str">
        <f aca="false">IF($A61="","",INDEX('AVALIAÇÃO MAPA'!$C$6:$C$105,MATCH($A61,'AVALIAÇÃO MAPA'!$AU$6:$AU$105,0)))</f>
        <v/>
      </c>
      <c r="E61" s="35" t="str">
        <f aca="false">IF($A61="","",INDEX('AVALIAÇÃO MAPA'!$AN$6:$AN$105,MATCH($A61,'AVALIAÇÃO MAPA'!$AU$6:$AU$105,0)))</f>
        <v/>
      </c>
      <c r="F61" s="29" t="str">
        <f aca="false">IF($A61="","",INDEX('AVALIAÇÃO MAPA'!$AJ$6:$AJ$105,MATCH($A61,'AVALIAÇÃO MAPA'!$AU$6:$AU$105,0)))</f>
        <v/>
      </c>
      <c r="G61" s="29" t="str">
        <f aca="false">IF($A61="","",INDEX('AVALIAÇÃO MAPA'!$AM$6:$AM$105,MATCH($A61,'AVALIAÇÃO MAPA'!$AU$6:$AU$105,0)))</f>
        <v/>
      </c>
      <c r="H61" s="15" t="str">
        <f aca="false">IF($A61="","",INDEX('AVALIAÇÃO MAPA'!$AS$6:$AS$105,MATCH($A61,'AVALIAÇÃO MAPA'!$AU$6:$AU$105,0)))</f>
        <v/>
      </c>
      <c r="I61" s="15" t="str">
        <f aca="false">IF($A61="","",INDEX('AVALIAÇÃO MAPA'!$AP$6:$AP$105,MATCH($A61,'AVALIAÇÃO MAPA'!$AU$6:$AU$105,0)))</f>
        <v/>
      </c>
      <c r="J61" s="15" t="str">
        <f aca="false">IF($A61="","",INDEX('AVALIAÇÃO MAPA'!$AQ$6:$AQ$105,MATCH($A61,'AVALIAÇÃO MAPA'!$AU$6:$AU$105,0)))</f>
        <v/>
      </c>
      <c r="K61" s="15" t="str">
        <f aca="false">IF($A61="","",INDEX('AVALIAÇÃO MAPA'!$AR$6:$AR$105,MATCH($A61,'AVALIAÇÃO MAPA'!$AU$6:$AU$105,0)))</f>
        <v/>
      </c>
      <c r="L61" s="15" t="str">
        <f aca="false">IF($A61="","",INDEX('AVALIAÇÃO MAPA'!$AT$6:$AT$105,MATCH($A61,'AVALIAÇÃO MAPA'!$AU$6:$AU$105,0)))</f>
        <v/>
      </c>
      <c r="M61" s="15" t="str">
        <f aca="false">IF($A61="","",INDEX('AVALIAÇÃO MAPA'!$AW$6:$AW$105,MATCH($A61,'AVALIAÇÃO MAPA'!$AU$6:$AU$105,0)))</f>
        <v/>
      </c>
      <c r="N61" s="27" t="str">
        <f aca="false">IF($A61="","",INDEX('AVALIAÇÃO MAPA'!$BB$6:$BB$105,MATCH($A61,'AVALIAÇÃO MAPA'!$AU$6:$AU$105,0)))</f>
        <v/>
      </c>
      <c r="W61" s="32" t="n">
        <v>56</v>
      </c>
      <c r="X61" s="32" t="n">
        <f aca="false">IF(AND('AVALIAÇÃO MAPA'!AN61&lt;&gt;"",'AVALIAÇÃO MAPA'!D61=1),'AVALIAÇÃO MAPA'!AM61,-1)</f>
        <v>-1</v>
      </c>
      <c r="Y61" s="32" t="n">
        <f aca="false">IF(AND('AVALIAÇÃO MAPA'!AN61&lt;&gt;"",'AVALIAÇÃO MAPA'!D61=1),'AVALIAÇÃO MAPA'!AJ61,-1)</f>
        <v>-1</v>
      </c>
      <c r="Z61" s="32" t="str">
        <f aca="false">'AVALIAÇÃO MAPA'!AS61</f>
        <v/>
      </c>
      <c r="AA61" s="32" t="str">
        <f aca="false">'AVALIAÇÃO MAPA'!AP61</f>
        <v/>
      </c>
      <c r="AB61" s="32" t="n">
        <f aca="false">IF(Z61="Fazer primeiro",Y61,-1)</f>
        <v>-1</v>
      </c>
      <c r="AC61" s="32" t="n">
        <f aca="false">IF(Z61="Projeto estratégico",Y61,-1)</f>
        <v>-1</v>
      </c>
      <c r="AD61" s="32" t="n">
        <f aca="false">IF(Z61="Quick win",Y61,-1)</f>
        <v>-1</v>
      </c>
      <c r="AE61" s="32" t="n">
        <f aca="false">IF(Z61="Evitar",Y61,-1)</f>
        <v>-1</v>
      </c>
      <c r="AF61" s="32" t="n">
        <f aca="false">IF(AA61="SIM",Y61,-1)</f>
        <v>-1</v>
      </c>
    </row>
    <row r="62" customFormat="false" ht="15" hidden="false" customHeight="false" outlineLevel="0" collapsed="false">
      <c r="A62" s="15" t="str">
        <f aca="false">IF(COUNT('AVALIAÇÃO MAPA'!$AU$6:$AU$105)&gt;=57,57,"")</f>
        <v/>
      </c>
      <c r="B62" s="15" t="str">
        <f aca="false">IF($A62="","",INDEX('AVALIAÇÃO MAPA'!$A$6:$A$105,MATCH($A62,'AVALIAÇÃO MAPA'!$AU$6:$AU$105,0)))</f>
        <v/>
      </c>
      <c r="C62" s="18" t="str">
        <f aca="false">IF($A62="","",INDEX('AVALIAÇÃO MAPA'!$B$6:$B$105,MATCH($A62,'AVALIAÇÃO MAPA'!$AU$6:$AU$105,0)))</f>
        <v/>
      </c>
      <c r="D62" s="15" t="str">
        <f aca="false">IF($A62="","",INDEX('AVALIAÇÃO MAPA'!$C$6:$C$105,MATCH($A62,'AVALIAÇÃO MAPA'!$AU$6:$AU$105,0)))</f>
        <v/>
      </c>
      <c r="E62" s="35" t="str">
        <f aca="false">IF($A62="","",INDEX('AVALIAÇÃO MAPA'!$AN$6:$AN$105,MATCH($A62,'AVALIAÇÃO MAPA'!$AU$6:$AU$105,0)))</f>
        <v/>
      </c>
      <c r="F62" s="29" t="str">
        <f aca="false">IF($A62="","",INDEX('AVALIAÇÃO MAPA'!$AJ$6:$AJ$105,MATCH($A62,'AVALIAÇÃO MAPA'!$AU$6:$AU$105,0)))</f>
        <v/>
      </c>
      <c r="G62" s="29" t="str">
        <f aca="false">IF($A62="","",INDEX('AVALIAÇÃO MAPA'!$AM$6:$AM$105,MATCH($A62,'AVALIAÇÃO MAPA'!$AU$6:$AU$105,0)))</f>
        <v/>
      </c>
      <c r="H62" s="15" t="str">
        <f aca="false">IF($A62="","",INDEX('AVALIAÇÃO MAPA'!$AS$6:$AS$105,MATCH($A62,'AVALIAÇÃO MAPA'!$AU$6:$AU$105,0)))</f>
        <v/>
      </c>
      <c r="I62" s="15" t="str">
        <f aca="false">IF($A62="","",INDEX('AVALIAÇÃO MAPA'!$AP$6:$AP$105,MATCH($A62,'AVALIAÇÃO MAPA'!$AU$6:$AU$105,0)))</f>
        <v/>
      </c>
      <c r="J62" s="15" t="str">
        <f aca="false">IF($A62="","",INDEX('AVALIAÇÃO MAPA'!$AQ$6:$AQ$105,MATCH($A62,'AVALIAÇÃO MAPA'!$AU$6:$AU$105,0)))</f>
        <v/>
      </c>
      <c r="K62" s="15" t="str">
        <f aca="false">IF($A62="","",INDEX('AVALIAÇÃO MAPA'!$AR$6:$AR$105,MATCH($A62,'AVALIAÇÃO MAPA'!$AU$6:$AU$105,0)))</f>
        <v/>
      </c>
      <c r="L62" s="15" t="str">
        <f aca="false">IF($A62="","",INDEX('AVALIAÇÃO MAPA'!$AT$6:$AT$105,MATCH($A62,'AVALIAÇÃO MAPA'!$AU$6:$AU$105,0)))</f>
        <v/>
      </c>
      <c r="M62" s="15" t="str">
        <f aca="false">IF($A62="","",INDEX('AVALIAÇÃO MAPA'!$AW$6:$AW$105,MATCH($A62,'AVALIAÇÃO MAPA'!$AU$6:$AU$105,0)))</f>
        <v/>
      </c>
      <c r="N62" s="27" t="str">
        <f aca="false">IF($A62="","",INDEX('AVALIAÇÃO MAPA'!$BB$6:$BB$105,MATCH($A62,'AVALIAÇÃO MAPA'!$AU$6:$AU$105,0)))</f>
        <v/>
      </c>
      <c r="W62" s="32" t="n">
        <v>57</v>
      </c>
      <c r="X62" s="32" t="n">
        <f aca="false">IF(AND('AVALIAÇÃO MAPA'!AN62&lt;&gt;"",'AVALIAÇÃO MAPA'!D62=1),'AVALIAÇÃO MAPA'!AM62,-1)</f>
        <v>-1</v>
      </c>
      <c r="Y62" s="32" t="n">
        <f aca="false">IF(AND('AVALIAÇÃO MAPA'!AN62&lt;&gt;"",'AVALIAÇÃO MAPA'!D62=1),'AVALIAÇÃO MAPA'!AJ62,-1)</f>
        <v>-1</v>
      </c>
      <c r="Z62" s="32" t="str">
        <f aca="false">'AVALIAÇÃO MAPA'!AS62</f>
        <v/>
      </c>
      <c r="AA62" s="32" t="str">
        <f aca="false">'AVALIAÇÃO MAPA'!AP62</f>
        <v/>
      </c>
      <c r="AB62" s="32" t="n">
        <f aca="false">IF(Z62="Fazer primeiro",Y62,-1)</f>
        <v>-1</v>
      </c>
      <c r="AC62" s="32" t="n">
        <f aca="false">IF(Z62="Projeto estratégico",Y62,-1)</f>
        <v>-1</v>
      </c>
      <c r="AD62" s="32" t="n">
        <f aca="false">IF(Z62="Quick win",Y62,-1)</f>
        <v>-1</v>
      </c>
      <c r="AE62" s="32" t="n">
        <f aca="false">IF(Z62="Evitar",Y62,-1)</f>
        <v>-1</v>
      </c>
      <c r="AF62" s="32" t="n">
        <f aca="false">IF(AA62="SIM",Y62,-1)</f>
        <v>-1</v>
      </c>
    </row>
    <row r="63" customFormat="false" ht="15" hidden="false" customHeight="false" outlineLevel="0" collapsed="false">
      <c r="A63" s="15" t="str">
        <f aca="false">IF(COUNT('AVALIAÇÃO MAPA'!$AU$6:$AU$105)&gt;=58,58,"")</f>
        <v/>
      </c>
      <c r="B63" s="15" t="str">
        <f aca="false">IF($A63="","",INDEX('AVALIAÇÃO MAPA'!$A$6:$A$105,MATCH($A63,'AVALIAÇÃO MAPA'!$AU$6:$AU$105,0)))</f>
        <v/>
      </c>
      <c r="C63" s="18" t="str">
        <f aca="false">IF($A63="","",INDEX('AVALIAÇÃO MAPA'!$B$6:$B$105,MATCH($A63,'AVALIAÇÃO MAPA'!$AU$6:$AU$105,0)))</f>
        <v/>
      </c>
      <c r="D63" s="15" t="str">
        <f aca="false">IF($A63="","",INDEX('AVALIAÇÃO MAPA'!$C$6:$C$105,MATCH($A63,'AVALIAÇÃO MAPA'!$AU$6:$AU$105,0)))</f>
        <v/>
      </c>
      <c r="E63" s="35" t="str">
        <f aca="false">IF($A63="","",INDEX('AVALIAÇÃO MAPA'!$AN$6:$AN$105,MATCH($A63,'AVALIAÇÃO MAPA'!$AU$6:$AU$105,0)))</f>
        <v/>
      </c>
      <c r="F63" s="29" t="str">
        <f aca="false">IF($A63="","",INDEX('AVALIAÇÃO MAPA'!$AJ$6:$AJ$105,MATCH($A63,'AVALIAÇÃO MAPA'!$AU$6:$AU$105,0)))</f>
        <v/>
      </c>
      <c r="G63" s="29" t="str">
        <f aca="false">IF($A63="","",INDEX('AVALIAÇÃO MAPA'!$AM$6:$AM$105,MATCH($A63,'AVALIAÇÃO MAPA'!$AU$6:$AU$105,0)))</f>
        <v/>
      </c>
      <c r="H63" s="15" t="str">
        <f aca="false">IF($A63="","",INDEX('AVALIAÇÃO MAPA'!$AS$6:$AS$105,MATCH($A63,'AVALIAÇÃO MAPA'!$AU$6:$AU$105,0)))</f>
        <v/>
      </c>
      <c r="I63" s="15" t="str">
        <f aca="false">IF($A63="","",INDEX('AVALIAÇÃO MAPA'!$AP$6:$AP$105,MATCH($A63,'AVALIAÇÃO MAPA'!$AU$6:$AU$105,0)))</f>
        <v/>
      </c>
      <c r="J63" s="15" t="str">
        <f aca="false">IF($A63="","",INDEX('AVALIAÇÃO MAPA'!$AQ$6:$AQ$105,MATCH($A63,'AVALIAÇÃO MAPA'!$AU$6:$AU$105,0)))</f>
        <v/>
      </c>
      <c r="K63" s="15" t="str">
        <f aca="false">IF($A63="","",INDEX('AVALIAÇÃO MAPA'!$AR$6:$AR$105,MATCH($A63,'AVALIAÇÃO MAPA'!$AU$6:$AU$105,0)))</f>
        <v/>
      </c>
      <c r="L63" s="15" t="str">
        <f aca="false">IF($A63="","",INDEX('AVALIAÇÃO MAPA'!$AT$6:$AT$105,MATCH($A63,'AVALIAÇÃO MAPA'!$AU$6:$AU$105,0)))</f>
        <v/>
      </c>
      <c r="M63" s="15" t="str">
        <f aca="false">IF($A63="","",INDEX('AVALIAÇÃO MAPA'!$AW$6:$AW$105,MATCH($A63,'AVALIAÇÃO MAPA'!$AU$6:$AU$105,0)))</f>
        <v/>
      </c>
      <c r="N63" s="27" t="str">
        <f aca="false">IF($A63="","",INDEX('AVALIAÇÃO MAPA'!$BB$6:$BB$105,MATCH($A63,'AVALIAÇÃO MAPA'!$AU$6:$AU$105,0)))</f>
        <v/>
      </c>
      <c r="W63" s="32" t="n">
        <v>58</v>
      </c>
      <c r="X63" s="32" t="n">
        <f aca="false">IF(AND('AVALIAÇÃO MAPA'!AN63&lt;&gt;"",'AVALIAÇÃO MAPA'!D63=1),'AVALIAÇÃO MAPA'!AM63,-1)</f>
        <v>-1</v>
      </c>
      <c r="Y63" s="32" t="n">
        <f aca="false">IF(AND('AVALIAÇÃO MAPA'!AN63&lt;&gt;"",'AVALIAÇÃO MAPA'!D63=1),'AVALIAÇÃO MAPA'!AJ63,-1)</f>
        <v>-1</v>
      </c>
      <c r="Z63" s="32" t="str">
        <f aca="false">'AVALIAÇÃO MAPA'!AS63</f>
        <v/>
      </c>
      <c r="AA63" s="32" t="str">
        <f aca="false">'AVALIAÇÃO MAPA'!AP63</f>
        <v/>
      </c>
      <c r="AB63" s="32" t="n">
        <f aca="false">IF(Z63="Fazer primeiro",Y63,-1)</f>
        <v>-1</v>
      </c>
      <c r="AC63" s="32" t="n">
        <f aca="false">IF(Z63="Projeto estratégico",Y63,-1)</f>
        <v>-1</v>
      </c>
      <c r="AD63" s="32" t="n">
        <f aca="false">IF(Z63="Quick win",Y63,-1)</f>
        <v>-1</v>
      </c>
      <c r="AE63" s="32" t="n">
        <f aca="false">IF(Z63="Evitar",Y63,-1)</f>
        <v>-1</v>
      </c>
      <c r="AF63" s="32" t="n">
        <f aca="false">IF(AA63="SIM",Y63,-1)</f>
        <v>-1</v>
      </c>
    </row>
    <row r="64" customFormat="false" ht="15" hidden="false" customHeight="false" outlineLevel="0" collapsed="false">
      <c r="A64" s="15" t="str">
        <f aca="false">IF(COUNT('AVALIAÇÃO MAPA'!$AU$6:$AU$105)&gt;=59,59,"")</f>
        <v/>
      </c>
      <c r="B64" s="15" t="str">
        <f aca="false">IF($A64="","",INDEX('AVALIAÇÃO MAPA'!$A$6:$A$105,MATCH($A64,'AVALIAÇÃO MAPA'!$AU$6:$AU$105,0)))</f>
        <v/>
      </c>
      <c r="C64" s="18" t="str">
        <f aca="false">IF($A64="","",INDEX('AVALIAÇÃO MAPA'!$B$6:$B$105,MATCH($A64,'AVALIAÇÃO MAPA'!$AU$6:$AU$105,0)))</f>
        <v/>
      </c>
      <c r="D64" s="15" t="str">
        <f aca="false">IF($A64="","",INDEX('AVALIAÇÃO MAPA'!$C$6:$C$105,MATCH($A64,'AVALIAÇÃO MAPA'!$AU$6:$AU$105,0)))</f>
        <v/>
      </c>
      <c r="E64" s="35" t="str">
        <f aca="false">IF($A64="","",INDEX('AVALIAÇÃO MAPA'!$AN$6:$AN$105,MATCH($A64,'AVALIAÇÃO MAPA'!$AU$6:$AU$105,0)))</f>
        <v/>
      </c>
      <c r="F64" s="29" t="str">
        <f aca="false">IF($A64="","",INDEX('AVALIAÇÃO MAPA'!$AJ$6:$AJ$105,MATCH($A64,'AVALIAÇÃO MAPA'!$AU$6:$AU$105,0)))</f>
        <v/>
      </c>
      <c r="G64" s="29" t="str">
        <f aca="false">IF($A64="","",INDEX('AVALIAÇÃO MAPA'!$AM$6:$AM$105,MATCH($A64,'AVALIAÇÃO MAPA'!$AU$6:$AU$105,0)))</f>
        <v/>
      </c>
      <c r="H64" s="15" t="str">
        <f aca="false">IF($A64="","",INDEX('AVALIAÇÃO MAPA'!$AS$6:$AS$105,MATCH($A64,'AVALIAÇÃO MAPA'!$AU$6:$AU$105,0)))</f>
        <v/>
      </c>
      <c r="I64" s="15" t="str">
        <f aca="false">IF($A64="","",INDEX('AVALIAÇÃO MAPA'!$AP$6:$AP$105,MATCH($A64,'AVALIAÇÃO MAPA'!$AU$6:$AU$105,0)))</f>
        <v/>
      </c>
      <c r="J64" s="15" t="str">
        <f aca="false">IF($A64="","",INDEX('AVALIAÇÃO MAPA'!$AQ$6:$AQ$105,MATCH($A64,'AVALIAÇÃO MAPA'!$AU$6:$AU$105,0)))</f>
        <v/>
      </c>
      <c r="K64" s="15" t="str">
        <f aca="false">IF($A64="","",INDEX('AVALIAÇÃO MAPA'!$AR$6:$AR$105,MATCH($A64,'AVALIAÇÃO MAPA'!$AU$6:$AU$105,0)))</f>
        <v/>
      </c>
      <c r="L64" s="15" t="str">
        <f aca="false">IF($A64="","",INDEX('AVALIAÇÃO MAPA'!$AT$6:$AT$105,MATCH($A64,'AVALIAÇÃO MAPA'!$AU$6:$AU$105,0)))</f>
        <v/>
      </c>
      <c r="M64" s="15" t="str">
        <f aca="false">IF($A64="","",INDEX('AVALIAÇÃO MAPA'!$AW$6:$AW$105,MATCH($A64,'AVALIAÇÃO MAPA'!$AU$6:$AU$105,0)))</f>
        <v/>
      </c>
      <c r="N64" s="27" t="str">
        <f aca="false">IF($A64="","",INDEX('AVALIAÇÃO MAPA'!$BB$6:$BB$105,MATCH($A64,'AVALIAÇÃO MAPA'!$AU$6:$AU$105,0)))</f>
        <v/>
      </c>
      <c r="W64" s="32" t="n">
        <v>59</v>
      </c>
      <c r="X64" s="32" t="n">
        <f aca="false">IF(AND('AVALIAÇÃO MAPA'!AN64&lt;&gt;"",'AVALIAÇÃO MAPA'!D64=1),'AVALIAÇÃO MAPA'!AM64,-1)</f>
        <v>-1</v>
      </c>
      <c r="Y64" s="32" t="n">
        <f aca="false">IF(AND('AVALIAÇÃO MAPA'!AN64&lt;&gt;"",'AVALIAÇÃO MAPA'!D64=1),'AVALIAÇÃO MAPA'!AJ64,-1)</f>
        <v>-1</v>
      </c>
      <c r="Z64" s="32" t="str">
        <f aca="false">'AVALIAÇÃO MAPA'!AS64</f>
        <v/>
      </c>
      <c r="AA64" s="32" t="str">
        <f aca="false">'AVALIAÇÃO MAPA'!AP64</f>
        <v/>
      </c>
      <c r="AB64" s="32" t="n">
        <f aca="false">IF(Z64="Fazer primeiro",Y64,-1)</f>
        <v>-1</v>
      </c>
      <c r="AC64" s="32" t="n">
        <f aca="false">IF(Z64="Projeto estratégico",Y64,-1)</f>
        <v>-1</v>
      </c>
      <c r="AD64" s="32" t="n">
        <f aca="false">IF(Z64="Quick win",Y64,-1)</f>
        <v>-1</v>
      </c>
      <c r="AE64" s="32" t="n">
        <f aca="false">IF(Z64="Evitar",Y64,-1)</f>
        <v>-1</v>
      </c>
      <c r="AF64" s="32" t="n">
        <f aca="false">IF(AA64="SIM",Y64,-1)</f>
        <v>-1</v>
      </c>
    </row>
    <row r="65" customFormat="false" ht="15" hidden="false" customHeight="false" outlineLevel="0" collapsed="false">
      <c r="A65" s="15" t="str">
        <f aca="false">IF(COUNT('AVALIAÇÃO MAPA'!$AU$6:$AU$105)&gt;=60,60,"")</f>
        <v/>
      </c>
      <c r="B65" s="15" t="str">
        <f aca="false">IF($A65="","",INDEX('AVALIAÇÃO MAPA'!$A$6:$A$105,MATCH($A65,'AVALIAÇÃO MAPA'!$AU$6:$AU$105,0)))</f>
        <v/>
      </c>
      <c r="C65" s="18" t="str">
        <f aca="false">IF($A65="","",INDEX('AVALIAÇÃO MAPA'!$B$6:$B$105,MATCH($A65,'AVALIAÇÃO MAPA'!$AU$6:$AU$105,0)))</f>
        <v/>
      </c>
      <c r="D65" s="15" t="str">
        <f aca="false">IF($A65="","",INDEX('AVALIAÇÃO MAPA'!$C$6:$C$105,MATCH($A65,'AVALIAÇÃO MAPA'!$AU$6:$AU$105,0)))</f>
        <v/>
      </c>
      <c r="E65" s="35" t="str">
        <f aca="false">IF($A65="","",INDEX('AVALIAÇÃO MAPA'!$AN$6:$AN$105,MATCH($A65,'AVALIAÇÃO MAPA'!$AU$6:$AU$105,0)))</f>
        <v/>
      </c>
      <c r="F65" s="29" t="str">
        <f aca="false">IF($A65="","",INDEX('AVALIAÇÃO MAPA'!$AJ$6:$AJ$105,MATCH($A65,'AVALIAÇÃO MAPA'!$AU$6:$AU$105,0)))</f>
        <v/>
      </c>
      <c r="G65" s="29" t="str">
        <f aca="false">IF($A65="","",INDEX('AVALIAÇÃO MAPA'!$AM$6:$AM$105,MATCH($A65,'AVALIAÇÃO MAPA'!$AU$6:$AU$105,0)))</f>
        <v/>
      </c>
      <c r="H65" s="15" t="str">
        <f aca="false">IF($A65="","",INDEX('AVALIAÇÃO MAPA'!$AS$6:$AS$105,MATCH($A65,'AVALIAÇÃO MAPA'!$AU$6:$AU$105,0)))</f>
        <v/>
      </c>
      <c r="I65" s="15" t="str">
        <f aca="false">IF($A65="","",INDEX('AVALIAÇÃO MAPA'!$AP$6:$AP$105,MATCH($A65,'AVALIAÇÃO MAPA'!$AU$6:$AU$105,0)))</f>
        <v/>
      </c>
      <c r="J65" s="15" t="str">
        <f aca="false">IF($A65="","",INDEX('AVALIAÇÃO MAPA'!$AQ$6:$AQ$105,MATCH($A65,'AVALIAÇÃO MAPA'!$AU$6:$AU$105,0)))</f>
        <v/>
      </c>
      <c r="K65" s="15" t="str">
        <f aca="false">IF($A65="","",INDEX('AVALIAÇÃO MAPA'!$AR$6:$AR$105,MATCH($A65,'AVALIAÇÃO MAPA'!$AU$6:$AU$105,0)))</f>
        <v/>
      </c>
      <c r="L65" s="15" t="str">
        <f aca="false">IF($A65="","",INDEX('AVALIAÇÃO MAPA'!$AT$6:$AT$105,MATCH($A65,'AVALIAÇÃO MAPA'!$AU$6:$AU$105,0)))</f>
        <v/>
      </c>
      <c r="M65" s="15" t="str">
        <f aca="false">IF($A65="","",INDEX('AVALIAÇÃO MAPA'!$AW$6:$AW$105,MATCH($A65,'AVALIAÇÃO MAPA'!$AU$6:$AU$105,0)))</f>
        <v/>
      </c>
      <c r="N65" s="27" t="str">
        <f aca="false">IF($A65="","",INDEX('AVALIAÇÃO MAPA'!$BB$6:$BB$105,MATCH($A65,'AVALIAÇÃO MAPA'!$AU$6:$AU$105,0)))</f>
        <v/>
      </c>
      <c r="W65" s="32" t="n">
        <v>60</v>
      </c>
      <c r="X65" s="32" t="n">
        <f aca="false">IF(AND('AVALIAÇÃO MAPA'!AN65&lt;&gt;"",'AVALIAÇÃO MAPA'!D65=1),'AVALIAÇÃO MAPA'!AM65,-1)</f>
        <v>-1</v>
      </c>
      <c r="Y65" s="32" t="n">
        <f aca="false">IF(AND('AVALIAÇÃO MAPA'!AN65&lt;&gt;"",'AVALIAÇÃO MAPA'!D65=1),'AVALIAÇÃO MAPA'!AJ65,-1)</f>
        <v>-1</v>
      </c>
      <c r="Z65" s="32" t="str">
        <f aca="false">'AVALIAÇÃO MAPA'!AS65</f>
        <v/>
      </c>
      <c r="AA65" s="32" t="str">
        <f aca="false">'AVALIAÇÃO MAPA'!AP65</f>
        <v/>
      </c>
      <c r="AB65" s="32" t="n">
        <f aca="false">IF(Z65="Fazer primeiro",Y65,-1)</f>
        <v>-1</v>
      </c>
      <c r="AC65" s="32" t="n">
        <f aca="false">IF(Z65="Projeto estratégico",Y65,-1)</f>
        <v>-1</v>
      </c>
      <c r="AD65" s="32" t="n">
        <f aca="false">IF(Z65="Quick win",Y65,-1)</f>
        <v>-1</v>
      </c>
      <c r="AE65" s="32" t="n">
        <f aca="false">IF(Z65="Evitar",Y65,-1)</f>
        <v>-1</v>
      </c>
      <c r="AF65" s="32" t="n">
        <f aca="false">IF(AA65="SIM",Y65,-1)</f>
        <v>-1</v>
      </c>
    </row>
    <row r="66" customFormat="false" ht="15" hidden="false" customHeight="false" outlineLevel="0" collapsed="false">
      <c r="A66" s="15" t="str">
        <f aca="false">IF(COUNT('AVALIAÇÃO MAPA'!$AU$6:$AU$105)&gt;=61,61,"")</f>
        <v/>
      </c>
      <c r="B66" s="15" t="str">
        <f aca="false">IF($A66="","",INDEX('AVALIAÇÃO MAPA'!$A$6:$A$105,MATCH($A66,'AVALIAÇÃO MAPA'!$AU$6:$AU$105,0)))</f>
        <v/>
      </c>
      <c r="C66" s="18" t="str">
        <f aca="false">IF($A66="","",INDEX('AVALIAÇÃO MAPA'!$B$6:$B$105,MATCH($A66,'AVALIAÇÃO MAPA'!$AU$6:$AU$105,0)))</f>
        <v/>
      </c>
      <c r="D66" s="15" t="str">
        <f aca="false">IF($A66="","",INDEX('AVALIAÇÃO MAPA'!$C$6:$C$105,MATCH($A66,'AVALIAÇÃO MAPA'!$AU$6:$AU$105,0)))</f>
        <v/>
      </c>
      <c r="E66" s="35" t="str">
        <f aca="false">IF($A66="","",INDEX('AVALIAÇÃO MAPA'!$AN$6:$AN$105,MATCH($A66,'AVALIAÇÃO MAPA'!$AU$6:$AU$105,0)))</f>
        <v/>
      </c>
      <c r="F66" s="29" t="str">
        <f aca="false">IF($A66="","",INDEX('AVALIAÇÃO MAPA'!$AJ$6:$AJ$105,MATCH($A66,'AVALIAÇÃO MAPA'!$AU$6:$AU$105,0)))</f>
        <v/>
      </c>
      <c r="G66" s="29" t="str">
        <f aca="false">IF($A66="","",INDEX('AVALIAÇÃO MAPA'!$AM$6:$AM$105,MATCH($A66,'AVALIAÇÃO MAPA'!$AU$6:$AU$105,0)))</f>
        <v/>
      </c>
      <c r="H66" s="15" t="str">
        <f aca="false">IF($A66="","",INDEX('AVALIAÇÃO MAPA'!$AS$6:$AS$105,MATCH($A66,'AVALIAÇÃO MAPA'!$AU$6:$AU$105,0)))</f>
        <v/>
      </c>
      <c r="I66" s="15" t="str">
        <f aca="false">IF($A66="","",INDEX('AVALIAÇÃO MAPA'!$AP$6:$AP$105,MATCH($A66,'AVALIAÇÃO MAPA'!$AU$6:$AU$105,0)))</f>
        <v/>
      </c>
      <c r="J66" s="15" t="str">
        <f aca="false">IF($A66="","",INDEX('AVALIAÇÃO MAPA'!$AQ$6:$AQ$105,MATCH($A66,'AVALIAÇÃO MAPA'!$AU$6:$AU$105,0)))</f>
        <v/>
      </c>
      <c r="K66" s="15" t="str">
        <f aca="false">IF($A66="","",INDEX('AVALIAÇÃO MAPA'!$AR$6:$AR$105,MATCH($A66,'AVALIAÇÃO MAPA'!$AU$6:$AU$105,0)))</f>
        <v/>
      </c>
      <c r="L66" s="15" t="str">
        <f aca="false">IF($A66="","",INDEX('AVALIAÇÃO MAPA'!$AT$6:$AT$105,MATCH($A66,'AVALIAÇÃO MAPA'!$AU$6:$AU$105,0)))</f>
        <v/>
      </c>
      <c r="M66" s="15" t="str">
        <f aca="false">IF($A66="","",INDEX('AVALIAÇÃO MAPA'!$AW$6:$AW$105,MATCH($A66,'AVALIAÇÃO MAPA'!$AU$6:$AU$105,0)))</f>
        <v/>
      </c>
      <c r="N66" s="27" t="str">
        <f aca="false">IF($A66="","",INDEX('AVALIAÇÃO MAPA'!$BB$6:$BB$105,MATCH($A66,'AVALIAÇÃO MAPA'!$AU$6:$AU$105,0)))</f>
        <v/>
      </c>
      <c r="W66" s="32" t="n">
        <v>61</v>
      </c>
      <c r="X66" s="32" t="n">
        <f aca="false">IF(AND('AVALIAÇÃO MAPA'!AN66&lt;&gt;"",'AVALIAÇÃO MAPA'!D66=1),'AVALIAÇÃO MAPA'!AM66,-1)</f>
        <v>-1</v>
      </c>
      <c r="Y66" s="32" t="n">
        <f aca="false">IF(AND('AVALIAÇÃO MAPA'!AN66&lt;&gt;"",'AVALIAÇÃO MAPA'!D66=1),'AVALIAÇÃO MAPA'!AJ66,-1)</f>
        <v>-1</v>
      </c>
      <c r="Z66" s="32" t="str">
        <f aca="false">'AVALIAÇÃO MAPA'!AS66</f>
        <v/>
      </c>
      <c r="AA66" s="32" t="str">
        <f aca="false">'AVALIAÇÃO MAPA'!AP66</f>
        <v/>
      </c>
      <c r="AB66" s="32" t="n">
        <f aca="false">IF(Z66="Fazer primeiro",Y66,-1)</f>
        <v>-1</v>
      </c>
      <c r="AC66" s="32" t="n">
        <f aca="false">IF(Z66="Projeto estratégico",Y66,-1)</f>
        <v>-1</v>
      </c>
      <c r="AD66" s="32" t="n">
        <f aca="false">IF(Z66="Quick win",Y66,-1)</f>
        <v>-1</v>
      </c>
      <c r="AE66" s="32" t="n">
        <f aca="false">IF(Z66="Evitar",Y66,-1)</f>
        <v>-1</v>
      </c>
      <c r="AF66" s="32" t="n">
        <f aca="false">IF(AA66="SIM",Y66,-1)</f>
        <v>-1</v>
      </c>
    </row>
    <row r="67" customFormat="false" ht="15" hidden="false" customHeight="false" outlineLevel="0" collapsed="false">
      <c r="A67" s="15" t="str">
        <f aca="false">IF(COUNT('AVALIAÇÃO MAPA'!$AU$6:$AU$105)&gt;=62,62,"")</f>
        <v/>
      </c>
      <c r="B67" s="15" t="str">
        <f aca="false">IF($A67="","",INDEX('AVALIAÇÃO MAPA'!$A$6:$A$105,MATCH($A67,'AVALIAÇÃO MAPA'!$AU$6:$AU$105,0)))</f>
        <v/>
      </c>
      <c r="C67" s="18" t="str">
        <f aca="false">IF($A67="","",INDEX('AVALIAÇÃO MAPA'!$B$6:$B$105,MATCH($A67,'AVALIAÇÃO MAPA'!$AU$6:$AU$105,0)))</f>
        <v/>
      </c>
      <c r="D67" s="15" t="str">
        <f aca="false">IF($A67="","",INDEX('AVALIAÇÃO MAPA'!$C$6:$C$105,MATCH($A67,'AVALIAÇÃO MAPA'!$AU$6:$AU$105,0)))</f>
        <v/>
      </c>
      <c r="E67" s="35" t="str">
        <f aca="false">IF($A67="","",INDEX('AVALIAÇÃO MAPA'!$AN$6:$AN$105,MATCH($A67,'AVALIAÇÃO MAPA'!$AU$6:$AU$105,0)))</f>
        <v/>
      </c>
      <c r="F67" s="29" t="str">
        <f aca="false">IF($A67="","",INDEX('AVALIAÇÃO MAPA'!$AJ$6:$AJ$105,MATCH($A67,'AVALIAÇÃO MAPA'!$AU$6:$AU$105,0)))</f>
        <v/>
      </c>
      <c r="G67" s="29" t="str">
        <f aca="false">IF($A67="","",INDEX('AVALIAÇÃO MAPA'!$AM$6:$AM$105,MATCH($A67,'AVALIAÇÃO MAPA'!$AU$6:$AU$105,0)))</f>
        <v/>
      </c>
      <c r="H67" s="15" t="str">
        <f aca="false">IF($A67="","",INDEX('AVALIAÇÃO MAPA'!$AS$6:$AS$105,MATCH($A67,'AVALIAÇÃO MAPA'!$AU$6:$AU$105,0)))</f>
        <v/>
      </c>
      <c r="I67" s="15" t="str">
        <f aca="false">IF($A67="","",INDEX('AVALIAÇÃO MAPA'!$AP$6:$AP$105,MATCH($A67,'AVALIAÇÃO MAPA'!$AU$6:$AU$105,0)))</f>
        <v/>
      </c>
      <c r="J67" s="15" t="str">
        <f aca="false">IF($A67="","",INDEX('AVALIAÇÃO MAPA'!$AQ$6:$AQ$105,MATCH($A67,'AVALIAÇÃO MAPA'!$AU$6:$AU$105,0)))</f>
        <v/>
      </c>
      <c r="K67" s="15" t="str">
        <f aca="false">IF($A67="","",INDEX('AVALIAÇÃO MAPA'!$AR$6:$AR$105,MATCH($A67,'AVALIAÇÃO MAPA'!$AU$6:$AU$105,0)))</f>
        <v/>
      </c>
      <c r="L67" s="15" t="str">
        <f aca="false">IF($A67="","",INDEX('AVALIAÇÃO MAPA'!$AT$6:$AT$105,MATCH($A67,'AVALIAÇÃO MAPA'!$AU$6:$AU$105,0)))</f>
        <v/>
      </c>
      <c r="M67" s="15" t="str">
        <f aca="false">IF($A67="","",INDEX('AVALIAÇÃO MAPA'!$AW$6:$AW$105,MATCH($A67,'AVALIAÇÃO MAPA'!$AU$6:$AU$105,0)))</f>
        <v/>
      </c>
      <c r="N67" s="27" t="str">
        <f aca="false">IF($A67="","",INDEX('AVALIAÇÃO MAPA'!$BB$6:$BB$105,MATCH($A67,'AVALIAÇÃO MAPA'!$AU$6:$AU$105,0)))</f>
        <v/>
      </c>
      <c r="W67" s="32" t="n">
        <v>62</v>
      </c>
      <c r="X67" s="32" t="n">
        <f aca="false">IF(AND('AVALIAÇÃO MAPA'!AN67&lt;&gt;"",'AVALIAÇÃO MAPA'!D67=1),'AVALIAÇÃO MAPA'!AM67,-1)</f>
        <v>-1</v>
      </c>
      <c r="Y67" s="32" t="n">
        <f aca="false">IF(AND('AVALIAÇÃO MAPA'!AN67&lt;&gt;"",'AVALIAÇÃO MAPA'!D67=1),'AVALIAÇÃO MAPA'!AJ67,-1)</f>
        <v>-1</v>
      </c>
      <c r="Z67" s="32" t="str">
        <f aca="false">'AVALIAÇÃO MAPA'!AS67</f>
        <v/>
      </c>
      <c r="AA67" s="32" t="str">
        <f aca="false">'AVALIAÇÃO MAPA'!AP67</f>
        <v/>
      </c>
      <c r="AB67" s="32" t="n">
        <f aca="false">IF(Z67="Fazer primeiro",Y67,-1)</f>
        <v>-1</v>
      </c>
      <c r="AC67" s="32" t="n">
        <f aca="false">IF(Z67="Projeto estratégico",Y67,-1)</f>
        <v>-1</v>
      </c>
      <c r="AD67" s="32" t="n">
        <f aca="false">IF(Z67="Quick win",Y67,-1)</f>
        <v>-1</v>
      </c>
      <c r="AE67" s="32" t="n">
        <f aca="false">IF(Z67="Evitar",Y67,-1)</f>
        <v>-1</v>
      </c>
      <c r="AF67" s="32" t="n">
        <f aca="false">IF(AA67="SIM",Y67,-1)</f>
        <v>-1</v>
      </c>
    </row>
    <row r="68" customFormat="false" ht="15" hidden="false" customHeight="false" outlineLevel="0" collapsed="false">
      <c r="A68" s="15" t="str">
        <f aca="false">IF(COUNT('AVALIAÇÃO MAPA'!$AU$6:$AU$105)&gt;=63,63,"")</f>
        <v/>
      </c>
      <c r="B68" s="15" t="str">
        <f aca="false">IF($A68="","",INDEX('AVALIAÇÃO MAPA'!$A$6:$A$105,MATCH($A68,'AVALIAÇÃO MAPA'!$AU$6:$AU$105,0)))</f>
        <v/>
      </c>
      <c r="C68" s="18" t="str">
        <f aca="false">IF($A68="","",INDEX('AVALIAÇÃO MAPA'!$B$6:$B$105,MATCH($A68,'AVALIAÇÃO MAPA'!$AU$6:$AU$105,0)))</f>
        <v/>
      </c>
      <c r="D68" s="15" t="str">
        <f aca="false">IF($A68="","",INDEX('AVALIAÇÃO MAPA'!$C$6:$C$105,MATCH($A68,'AVALIAÇÃO MAPA'!$AU$6:$AU$105,0)))</f>
        <v/>
      </c>
      <c r="E68" s="35" t="str">
        <f aca="false">IF($A68="","",INDEX('AVALIAÇÃO MAPA'!$AN$6:$AN$105,MATCH($A68,'AVALIAÇÃO MAPA'!$AU$6:$AU$105,0)))</f>
        <v/>
      </c>
      <c r="F68" s="29" t="str">
        <f aca="false">IF($A68="","",INDEX('AVALIAÇÃO MAPA'!$AJ$6:$AJ$105,MATCH($A68,'AVALIAÇÃO MAPA'!$AU$6:$AU$105,0)))</f>
        <v/>
      </c>
      <c r="G68" s="29" t="str">
        <f aca="false">IF($A68="","",INDEX('AVALIAÇÃO MAPA'!$AM$6:$AM$105,MATCH($A68,'AVALIAÇÃO MAPA'!$AU$6:$AU$105,0)))</f>
        <v/>
      </c>
      <c r="H68" s="15" t="str">
        <f aca="false">IF($A68="","",INDEX('AVALIAÇÃO MAPA'!$AS$6:$AS$105,MATCH($A68,'AVALIAÇÃO MAPA'!$AU$6:$AU$105,0)))</f>
        <v/>
      </c>
      <c r="I68" s="15" t="str">
        <f aca="false">IF($A68="","",INDEX('AVALIAÇÃO MAPA'!$AP$6:$AP$105,MATCH($A68,'AVALIAÇÃO MAPA'!$AU$6:$AU$105,0)))</f>
        <v/>
      </c>
      <c r="J68" s="15" t="str">
        <f aca="false">IF($A68="","",INDEX('AVALIAÇÃO MAPA'!$AQ$6:$AQ$105,MATCH($A68,'AVALIAÇÃO MAPA'!$AU$6:$AU$105,0)))</f>
        <v/>
      </c>
      <c r="K68" s="15" t="str">
        <f aca="false">IF($A68="","",INDEX('AVALIAÇÃO MAPA'!$AR$6:$AR$105,MATCH($A68,'AVALIAÇÃO MAPA'!$AU$6:$AU$105,0)))</f>
        <v/>
      </c>
      <c r="L68" s="15" t="str">
        <f aca="false">IF($A68="","",INDEX('AVALIAÇÃO MAPA'!$AT$6:$AT$105,MATCH($A68,'AVALIAÇÃO MAPA'!$AU$6:$AU$105,0)))</f>
        <v/>
      </c>
      <c r="M68" s="15" t="str">
        <f aca="false">IF($A68="","",INDEX('AVALIAÇÃO MAPA'!$AW$6:$AW$105,MATCH($A68,'AVALIAÇÃO MAPA'!$AU$6:$AU$105,0)))</f>
        <v/>
      </c>
      <c r="N68" s="27" t="str">
        <f aca="false">IF($A68="","",INDEX('AVALIAÇÃO MAPA'!$BB$6:$BB$105,MATCH($A68,'AVALIAÇÃO MAPA'!$AU$6:$AU$105,0)))</f>
        <v/>
      </c>
      <c r="W68" s="32" t="n">
        <v>63</v>
      </c>
      <c r="X68" s="32" t="n">
        <f aca="false">IF(AND('AVALIAÇÃO MAPA'!AN68&lt;&gt;"",'AVALIAÇÃO MAPA'!D68=1),'AVALIAÇÃO MAPA'!AM68,-1)</f>
        <v>-1</v>
      </c>
      <c r="Y68" s="32" t="n">
        <f aca="false">IF(AND('AVALIAÇÃO MAPA'!AN68&lt;&gt;"",'AVALIAÇÃO MAPA'!D68=1),'AVALIAÇÃO MAPA'!AJ68,-1)</f>
        <v>-1</v>
      </c>
      <c r="Z68" s="32" t="str">
        <f aca="false">'AVALIAÇÃO MAPA'!AS68</f>
        <v/>
      </c>
      <c r="AA68" s="32" t="str">
        <f aca="false">'AVALIAÇÃO MAPA'!AP68</f>
        <v/>
      </c>
      <c r="AB68" s="32" t="n">
        <f aca="false">IF(Z68="Fazer primeiro",Y68,-1)</f>
        <v>-1</v>
      </c>
      <c r="AC68" s="32" t="n">
        <f aca="false">IF(Z68="Projeto estratégico",Y68,-1)</f>
        <v>-1</v>
      </c>
      <c r="AD68" s="32" t="n">
        <f aca="false">IF(Z68="Quick win",Y68,-1)</f>
        <v>-1</v>
      </c>
      <c r="AE68" s="32" t="n">
        <f aca="false">IF(Z68="Evitar",Y68,-1)</f>
        <v>-1</v>
      </c>
      <c r="AF68" s="32" t="n">
        <f aca="false">IF(AA68="SIM",Y68,-1)</f>
        <v>-1</v>
      </c>
    </row>
    <row r="69" customFormat="false" ht="15" hidden="false" customHeight="false" outlineLevel="0" collapsed="false">
      <c r="A69" s="15" t="str">
        <f aca="false">IF(COUNT('AVALIAÇÃO MAPA'!$AU$6:$AU$105)&gt;=64,64,"")</f>
        <v/>
      </c>
      <c r="B69" s="15" t="str">
        <f aca="false">IF($A69="","",INDEX('AVALIAÇÃO MAPA'!$A$6:$A$105,MATCH($A69,'AVALIAÇÃO MAPA'!$AU$6:$AU$105,0)))</f>
        <v/>
      </c>
      <c r="C69" s="18" t="str">
        <f aca="false">IF($A69="","",INDEX('AVALIAÇÃO MAPA'!$B$6:$B$105,MATCH($A69,'AVALIAÇÃO MAPA'!$AU$6:$AU$105,0)))</f>
        <v/>
      </c>
      <c r="D69" s="15" t="str">
        <f aca="false">IF($A69="","",INDEX('AVALIAÇÃO MAPA'!$C$6:$C$105,MATCH($A69,'AVALIAÇÃO MAPA'!$AU$6:$AU$105,0)))</f>
        <v/>
      </c>
      <c r="E69" s="35" t="str">
        <f aca="false">IF($A69="","",INDEX('AVALIAÇÃO MAPA'!$AN$6:$AN$105,MATCH($A69,'AVALIAÇÃO MAPA'!$AU$6:$AU$105,0)))</f>
        <v/>
      </c>
      <c r="F69" s="29" t="str">
        <f aca="false">IF($A69="","",INDEX('AVALIAÇÃO MAPA'!$AJ$6:$AJ$105,MATCH($A69,'AVALIAÇÃO MAPA'!$AU$6:$AU$105,0)))</f>
        <v/>
      </c>
      <c r="G69" s="29" t="str">
        <f aca="false">IF($A69="","",INDEX('AVALIAÇÃO MAPA'!$AM$6:$AM$105,MATCH($A69,'AVALIAÇÃO MAPA'!$AU$6:$AU$105,0)))</f>
        <v/>
      </c>
      <c r="H69" s="15" t="str">
        <f aca="false">IF($A69="","",INDEX('AVALIAÇÃO MAPA'!$AS$6:$AS$105,MATCH($A69,'AVALIAÇÃO MAPA'!$AU$6:$AU$105,0)))</f>
        <v/>
      </c>
      <c r="I69" s="15" t="str">
        <f aca="false">IF($A69="","",INDEX('AVALIAÇÃO MAPA'!$AP$6:$AP$105,MATCH($A69,'AVALIAÇÃO MAPA'!$AU$6:$AU$105,0)))</f>
        <v/>
      </c>
      <c r="J69" s="15" t="str">
        <f aca="false">IF($A69="","",INDEX('AVALIAÇÃO MAPA'!$AQ$6:$AQ$105,MATCH($A69,'AVALIAÇÃO MAPA'!$AU$6:$AU$105,0)))</f>
        <v/>
      </c>
      <c r="K69" s="15" t="str">
        <f aca="false">IF($A69="","",INDEX('AVALIAÇÃO MAPA'!$AR$6:$AR$105,MATCH($A69,'AVALIAÇÃO MAPA'!$AU$6:$AU$105,0)))</f>
        <v/>
      </c>
      <c r="L69" s="15" t="str">
        <f aca="false">IF($A69="","",INDEX('AVALIAÇÃO MAPA'!$AT$6:$AT$105,MATCH($A69,'AVALIAÇÃO MAPA'!$AU$6:$AU$105,0)))</f>
        <v/>
      </c>
      <c r="M69" s="15" t="str">
        <f aca="false">IF($A69="","",INDEX('AVALIAÇÃO MAPA'!$AW$6:$AW$105,MATCH($A69,'AVALIAÇÃO MAPA'!$AU$6:$AU$105,0)))</f>
        <v/>
      </c>
      <c r="N69" s="27" t="str">
        <f aca="false">IF($A69="","",INDEX('AVALIAÇÃO MAPA'!$BB$6:$BB$105,MATCH($A69,'AVALIAÇÃO MAPA'!$AU$6:$AU$105,0)))</f>
        <v/>
      </c>
      <c r="W69" s="32" t="n">
        <v>64</v>
      </c>
      <c r="X69" s="32" t="n">
        <f aca="false">IF(AND('AVALIAÇÃO MAPA'!AN69&lt;&gt;"",'AVALIAÇÃO MAPA'!D69=1),'AVALIAÇÃO MAPA'!AM69,-1)</f>
        <v>-1</v>
      </c>
      <c r="Y69" s="32" t="n">
        <f aca="false">IF(AND('AVALIAÇÃO MAPA'!AN69&lt;&gt;"",'AVALIAÇÃO MAPA'!D69=1),'AVALIAÇÃO MAPA'!AJ69,-1)</f>
        <v>-1</v>
      </c>
      <c r="Z69" s="32" t="str">
        <f aca="false">'AVALIAÇÃO MAPA'!AS69</f>
        <v/>
      </c>
      <c r="AA69" s="32" t="str">
        <f aca="false">'AVALIAÇÃO MAPA'!AP69</f>
        <v/>
      </c>
      <c r="AB69" s="32" t="n">
        <f aca="false">IF(Z69="Fazer primeiro",Y69,-1)</f>
        <v>-1</v>
      </c>
      <c r="AC69" s="32" t="n">
        <f aca="false">IF(Z69="Projeto estratégico",Y69,-1)</f>
        <v>-1</v>
      </c>
      <c r="AD69" s="32" t="n">
        <f aca="false">IF(Z69="Quick win",Y69,-1)</f>
        <v>-1</v>
      </c>
      <c r="AE69" s="32" t="n">
        <f aca="false">IF(Z69="Evitar",Y69,-1)</f>
        <v>-1</v>
      </c>
      <c r="AF69" s="32" t="n">
        <f aca="false">IF(AA69="SIM",Y69,-1)</f>
        <v>-1</v>
      </c>
    </row>
    <row r="70" customFormat="false" ht="15" hidden="false" customHeight="false" outlineLevel="0" collapsed="false">
      <c r="A70" s="15" t="str">
        <f aca="false">IF(COUNT('AVALIAÇÃO MAPA'!$AU$6:$AU$105)&gt;=65,65,"")</f>
        <v/>
      </c>
      <c r="B70" s="15" t="str">
        <f aca="false">IF($A70="","",INDEX('AVALIAÇÃO MAPA'!$A$6:$A$105,MATCH($A70,'AVALIAÇÃO MAPA'!$AU$6:$AU$105,0)))</f>
        <v/>
      </c>
      <c r="C70" s="18" t="str">
        <f aca="false">IF($A70="","",INDEX('AVALIAÇÃO MAPA'!$B$6:$B$105,MATCH($A70,'AVALIAÇÃO MAPA'!$AU$6:$AU$105,0)))</f>
        <v/>
      </c>
      <c r="D70" s="15" t="str">
        <f aca="false">IF($A70="","",INDEX('AVALIAÇÃO MAPA'!$C$6:$C$105,MATCH($A70,'AVALIAÇÃO MAPA'!$AU$6:$AU$105,0)))</f>
        <v/>
      </c>
      <c r="E70" s="35" t="str">
        <f aca="false">IF($A70="","",INDEX('AVALIAÇÃO MAPA'!$AN$6:$AN$105,MATCH($A70,'AVALIAÇÃO MAPA'!$AU$6:$AU$105,0)))</f>
        <v/>
      </c>
      <c r="F70" s="29" t="str">
        <f aca="false">IF($A70="","",INDEX('AVALIAÇÃO MAPA'!$AJ$6:$AJ$105,MATCH($A70,'AVALIAÇÃO MAPA'!$AU$6:$AU$105,0)))</f>
        <v/>
      </c>
      <c r="G70" s="29" t="str">
        <f aca="false">IF($A70="","",INDEX('AVALIAÇÃO MAPA'!$AM$6:$AM$105,MATCH($A70,'AVALIAÇÃO MAPA'!$AU$6:$AU$105,0)))</f>
        <v/>
      </c>
      <c r="H70" s="15" t="str">
        <f aca="false">IF($A70="","",INDEX('AVALIAÇÃO MAPA'!$AS$6:$AS$105,MATCH($A70,'AVALIAÇÃO MAPA'!$AU$6:$AU$105,0)))</f>
        <v/>
      </c>
      <c r="I70" s="15" t="str">
        <f aca="false">IF($A70="","",INDEX('AVALIAÇÃO MAPA'!$AP$6:$AP$105,MATCH($A70,'AVALIAÇÃO MAPA'!$AU$6:$AU$105,0)))</f>
        <v/>
      </c>
      <c r="J70" s="15" t="str">
        <f aca="false">IF($A70="","",INDEX('AVALIAÇÃO MAPA'!$AQ$6:$AQ$105,MATCH($A70,'AVALIAÇÃO MAPA'!$AU$6:$AU$105,0)))</f>
        <v/>
      </c>
      <c r="K70" s="15" t="str">
        <f aca="false">IF($A70="","",INDEX('AVALIAÇÃO MAPA'!$AR$6:$AR$105,MATCH($A70,'AVALIAÇÃO MAPA'!$AU$6:$AU$105,0)))</f>
        <v/>
      </c>
      <c r="L70" s="15" t="str">
        <f aca="false">IF($A70="","",INDEX('AVALIAÇÃO MAPA'!$AT$6:$AT$105,MATCH($A70,'AVALIAÇÃO MAPA'!$AU$6:$AU$105,0)))</f>
        <v/>
      </c>
      <c r="M70" s="15" t="str">
        <f aca="false">IF($A70="","",INDEX('AVALIAÇÃO MAPA'!$AW$6:$AW$105,MATCH($A70,'AVALIAÇÃO MAPA'!$AU$6:$AU$105,0)))</f>
        <v/>
      </c>
      <c r="N70" s="27" t="str">
        <f aca="false">IF($A70="","",INDEX('AVALIAÇÃO MAPA'!$BB$6:$BB$105,MATCH($A70,'AVALIAÇÃO MAPA'!$AU$6:$AU$105,0)))</f>
        <v/>
      </c>
      <c r="W70" s="32" t="n">
        <v>65</v>
      </c>
      <c r="X70" s="32" t="n">
        <f aca="false">IF(AND('AVALIAÇÃO MAPA'!AN70&lt;&gt;"",'AVALIAÇÃO MAPA'!D70=1),'AVALIAÇÃO MAPA'!AM70,-1)</f>
        <v>-1</v>
      </c>
      <c r="Y70" s="32" t="n">
        <f aca="false">IF(AND('AVALIAÇÃO MAPA'!AN70&lt;&gt;"",'AVALIAÇÃO MAPA'!D70=1),'AVALIAÇÃO MAPA'!AJ70,-1)</f>
        <v>-1</v>
      </c>
      <c r="Z70" s="32" t="str">
        <f aca="false">'AVALIAÇÃO MAPA'!AS70</f>
        <v/>
      </c>
      <c r="AA70" s="32" t="str">
        <f aca="false">'AVALIAÇÃO MAPA'!AP70</f>
        <v/>
      </c>
      <c r="AB70" s="32" t="n">
        <f aca="false">IF(Z70="Fazer primeiro",Y70,-1)</f>
        <v>-1</v>
      </c>
      <c r="AC70" s="32" t="n">
        <f aca="false">IF(Z70="Projeto estratégico",Y70,-1)</f>
        <v>-1</v>
      </c>
      <c r="AD70" s="32" t="n">
        <f aca="false">IF(Z70="Quick win",Y70,-1)</f>
        <v>-1</v>
      </c>
      <c r="AE70" s="32" t="n">
        <f aca="false">IF(Z70="Evitar",Y70,-1)</f>
        <v>-1</v>
      </c>
      <c r="AF70" s="32" t="n">
        <f aca="false">IF(AA70="SIM",Y70,-1)</f>
        <v>-1</v>
      </c>
    </row>
    <row r="71" customFormat="false" ht="15" hidden="false" customHeight="false" outlineLevel="0" collapsed="false">
      <c r="A71" s="15" t="str">
        <f aca="false">IF(COUNT('AVALIAÇÃO MAPA'!$AU$6:$AU$105)&gt;=66,66,"")</f>
        <v/>
      </c>
      <c r="B71" s="15" t="str">
        <f aca="false">IF($A71="","",INDEX('AVALIAÇÃO MAPA'!$A$6:$A$105,MATCH($A71,'AVALIAÇÃO MAPA'!$AU$6:$AU$105,0)))</f>
        <v/>
      </c>
      <c r="C71" s="18" t="str">
        <f aca="false">IF($A71="","",INDEX('AVALIAÇÃO MAPA'!$B$6:$B$105,MATCH($A71,'AVALIAÇÃO MAPA'!$AU$6:$AU$105,0)))</f>
        <v/>
      </c>
      <c r="D71" s="15" t="str">
        <f aca="false">IF($A71="","",INDEX('AVALIAÇÃO MAPA'!$C$6:$C$105,MATCH($A71,'AVALIAÇÃO MAPA'!$AU$6:$AU$105,0)))</f>
        <v/>
      </c>
      <c r="E71" s="35" t="str">
        <f aca="false">IF($A71="","",INDEX('AVALIAÇÃO MAPA'!$AN$6:$AN$105,MATCH($A71,'AVALIAÇÃO MAPA'!$AU$6:$AU$105,0)))</f>
        <v/>
      </c>
      <c r="F71" s="29" t="str">
        <f aca="false">IF($A71="","",INDEX('AVALIAÇÃO MAPA'!$AJ$6:$AJ$105,MATCH($A71,'AVALIAÇÃO MAPA'!$AU$6:$AU$105,0)))</f>
        <v/>
      </c>
      <c r="G71" s="29" t="str">
        <f aca="false">IF($A71="","",INDEX('AVALIAÇÃO MAPA'!$AM$6:$AM$105,MATCH($A71,'AVALIAÇÃO MAPA'!$AU$6:$AU$105,0)))</f>
        <v/>
      </c>
      <c r="H71" s="15" t="str">
        <f aca="false">IF($A71="","",INDEX('AVALIAÇÃO MAPA'!$AS$6:$AS$105,MATCH($A71,'AVALIAÇÃO MAPA'!$AU$6:$AU$105,0)))</f>
        <v/>
      </c>
      <c r="I71" s="15" t="str">
        <f aca="false">IF($A71="","",INDEX('AVALIAÇÃO MAPA'!$AP$6:$AP$105,MATCH($A71,'AVALIAÇÃO MAPA'!$AU$6:$AU$105,0)))</f>
        <v/>
      </c>
      <c r="J71" s="15" t="str">
        <f aca="false">IF($A71="","",INDEX('AVALIAÇÃO MAPA'!$AQ$6:$AQ$105,MATCH($A71,'AVALIAÇÃO MAPA'!$AU$6:$AU$105,0)))</f>
        <v/>
      </c>
      <c r="K71" s="15" t="str">
        <f aca="false">IF($A71="","",INDEX('AVALIAÇÃO MAPA'!$AR$6:$AR$105,MATCH($A71,'AVALIAÇÃO MAPA'!$AU$6:$AU$105,0)))</f>
        <v/>
      </c>
      <c r="L71" s="15" t="str">
        <f aca="false">IF($A71="","",INDEX('AVALIAÇÃO MAPA'!$AT$6:$AT$105,MATCH($A71,'AVALIAÇÃO MAPA'!$AU$6:$AU$105,0)))</f>
        <v/>
      </c>
      <c r="M71" s="15" t="str">
        <f aca="false">IF($A71="","",INDEX('AVALIAÇÃO MAPA'!$AW$6:$AW$105,MATCH($A71,'AVALIAÇÃO MAPA'!$AU$6:$AU$105,0)))</f>
        <v/>
      </c>
      <c r="N71" s="27" t="str">
        <f aca="false">IF($A71="","",INDEX('AVALIAÇÃO MAPA'!$BB$6:$BB$105,MATCH($A71,'AVALIAÇÃO MAPA'!$AU$6:$AU$105,0)))</f>
        <v/>
      </c>
      <c r="W71" s="32" t="n">
        <v>66</v>
      </c>
      <c r="X71" s="32" t="n">
        <f aca="false">IF(AND('AVALIAÇÃO MAPA'!AN71&lt;&gt;"",'AVALIAÇÃO MAPA'!D71=1),'AVALIAÇÃO MAPA'!AM71,-1)</f>
        <v>-1</v>
      </c>
      <c r="Y71" s="32" t="n">
        <f aca="false">IF(AND('AVALIAÇÃO MAPA'!AN71&lt;&gt;"",'AVALIAÇÃO MAPA'!D71=1),'AVALIAÇÃO MAPA'!AJ71,-1)</f>
        <v>-1</v>
      </c>
      <c r="Z71" s="32" t="str">
        <f aca="false">'AVALIAÇÃO MAPA'!AS71</f>
        <v/>
      </c>
      <c r="AA71" s="32" t="str">
        <f aca="false">'AVALIAÇÃO MAPA'!AP71</f>
        <v/>
      </c>
      <c r="AB71" s="32" t="n">
        <f aca="false">IF(Z71="Fazer primeiro",Y71,-1)</f>
        <v>-1</v>
      </c>
      <c r="AC71" s="32" t="n">
        <f aca="false">IF(Z71="Projeto estratégico",Y71,-1)</f>
        <v>-1</v>
      </c>
      <c r="AD71" s="32" t="n">
        <f aca="false">IF(Z71="Quick win",Y71,-1)</f>
        <v>-1</v>
      </c>
      <c r="AE71" s="32" t="n">
        <f aca="false">IF(Z71="Evitar",Y71,-1)</f>
        <v>-1</v>
      </c>
      <c r="AF71" s="32" t="n">
        <f aca="false">IF(AA71="SIM",Y71,-1)</f>
        <v>-1</v>
      </c>
    </row>
    <row r="72" customFormat="false" ht="15" hidden="false" customHeight="false" outlineLevel="0" collapsed="false">
      <c r="A72" s="15" t="str">
        <f aca="false">IF(COUNT('AVALIAÇÃO MAPA'!$AU$6:$AU$105)&gt;=67,67,"")</f>
        <v/>
      </c>
      <c r="B72" s="15" t="str">
        <f aca="false">IF($A72="","",INDEX('AVALIAÇÃO MAPA'!$A$6:$A$105,MATCH($A72,'AVALIAÇÃO MAPA'!$AU$6:$AU$105,0)))</f>
        <v/>
      </c>
      <c r="C72" s="18" t="str">
        <f aca="false">IF($A72="","",INDEX('AVALIAÇÃO MAPA'!$B$6:$B$105,MATCH($A72,'AVALIAÇÃO MAPA'!$AU$6:$AU$105,0)))</f>
        <v/>
      </c>
      <c r="D72" s="15" t="str">
        <f aca="false">IF($A72="","",INDEX('AVALIAÇÃO MAPA'!$C$6:$C$105,MATCH($A72,'AVALIAÇÃO MAPA'!$AU$6:$AU$105,0)))</f>
        <v/>
      </c>
      <c r="E72" s="35" t="str">
        <f aca="false">IF($A72="","",INDEX('AVALIAÇÃO MAPA'!$AN$6:$AN$105,MATCH($A72,'AVALIAÇÃO MAPA'!$AU$6:$AU$105,0)))</f>
        <v/>
      </c>
      <c r="F72" s="29" t="str">
        <f aca="false">IF($A72="","",INDEX('AVALIAÇÃO MAPA'!$AJ$6:$AJ$105,MATCH($A72,'AVALIAÇÃO MAPA'!$AU$6:$AU$105,0)))</f>
        <v/>
      </c>
      <c r="G72" s="29" t="str">
        <f aca="false">IF($A72="","",INDEX('AVALIAÇÃO MAPA'!$AM$6:$AM$105,MATCH($A72,'AVALIAÇÃO MAPA'!$AU$6:$AU$105,0)))</f>
        <v/>
      </c>
      <c r="H72" s="15" t="str">
        <f aca="false">IF($A72="","",INDEX('AVALIAÇÃO MAPA'!$AS$6:$AS$105,MATCH($A72,'AVALIAÇÃO MAPA'!$AU$6:$AU$105,0)))</f>
        <v/>
      </c>
      <c r="I72" s="15" t="str">
        <f aca="false">IF($A72="","",INDEX('AVALIAÇÃO MAPA'!$AP$6:$AP$105,MATCH($A72,'AVALIAÇÃO MAPA'!$AU$6:$AU$105,0)))</f>
        <v/>
      </c>
      <c r="J72" s="15" t="str">
        <f aca="false">IF($A72="","",INDEX('AVALIAÇÃO MAPA'!$AQ$6:$AQ$105,MATCH($A72,'AVALIAÇÃO MAPA'!$AU$6:$AU$105,0)))</f>
        <v/>
      </c>
      <c r="K72" s="15" t="str">
        <f aca="false">IF($A72="","",INDEX('AVALIAÇÃO MAPA'!$AR$6:$AR$105,MATCH($A72,'AVALIAÇÃO MAPA'!$AU$6:$AU$105,0)))</f>
        <v/>
      </c>
      <c r="L72" s="15" t="str">
        <f aca="false">IF($A72="","",INDEX('AVALIAÇÃO MAPA'!$AT$6:$AT$105,MATCH($A72,'AVALIAÇÃO MAPA'!$AU$6:$AU$105,0)))</f>
        <v/>
      </c>
      <c r="M72" s="15" t="str">
        <f aca="false">IF($A72="","",INDEX('AVALIAÇÃO MAPA'!$AW$6:$AW$105,MATCH($A72,'AVALIAÇÃO MAPA'!$AU$6:$AU$105,0)))</f>
        <v/>
      </c>
      <c r="N72" s="27" t="str">
        <f aca="false">IF($A72="","",INDEX('AVALIAÇÃO MAPA'!$BB$6:$BB$105,MATCH($A72,'AVALIAÇÃO MAPA'!$AU$6:$AU$105,0)))</f>
        <v/>
      </c>
      <c r="W72" s="32" t="n">
        <v>67</v>
      </c>
      <c r="X72" s="32" t="n">
        <f aca="false">IF(AND('AVALIAÇÃO MAPA'!AN72&lt;&gt;"",'AVALIAÇÃO MAPA'!D72=1),'AVALIAÇÃO MAPA'!AM72,-1)</f>
        <v>-1</v>
      </c>
      <c r="Y72" s="32" t="n">
        <f aca="false">IF(AND('AVALIAÇÃO MAPA'!AN72&lt;&gt;"",'AVALIAÇÃO MAPA'!D72=1),'AVALIAÇÃO MAPA'!AJ72,-1)</f>
        <v>-1</v>
      </c>
      <c r="Z72" s="32" t="str">
        <f aca="false">'AVALIAÇÃO MAPA'!AS72</f>
        <v/>
      </c>
      <c r="AA72" s="32" t="str">
        <f aca="false">'AVALIAÇÃO MAPA'!AP72</f>
        <v/>
      </c>
      <c r="AB72" s="32" t="n">
        <f aca="false">IF(Z72="Fazer primeiro",Y72,-1)</f>
        <v>-1</v>
      </c>
      <c r="AC72" s="32" t="n">
        <f aca="false">IF(Z72="Projeto estratégico",Y72,-1)</f>
        <v>-1</v>
      </c>
      <c r="AD72" s="32" t="n">
        <f aca="false">IF(Z72="Quick win",Y72,-1)</f>
        <v>-1</v>
      </c>
      <c r="AE72" s="32" t="n">
        <f aca="false">IF(Z72="Evitar",Y72,-1)</f>
        <v>-1</v>
      </c>
      <c r="AF72" s="32" t="n">
        <f aca="false">IF(AA72="SIM",Y72,-1)</f>
        <v>-1</v>
      </c>
    </row>
    <row r="73" customFormat="false" ht="15" hidden="false" customHeight="false" outlineLevel="0" collapsed="false">
      <c r="A73" s="15" t="str">
        <f aca="false">IF(COUNT('AVALIAÇÃO MAPA'!$AU$6:$AU$105)&gt;=68,68,"")</f>
        <v/>
      </c>
      <c r="B73" s="15" t="str">
        <f aca="false">IF($A73="","",INDEX('AVALIAÇÃO MAPA'!$A$6:$A$105,MATCH($A73,'AVALIAÇÃO MAPA'!$AU$6:$AU$105,0)))</f>
        <v/>
      </c>
      <c r="C73" s="18" t="str">
        <f aca="false">IF($A73="","",INDEX('AVALIAÇÃO MAPA'!$B$6:$B$105,MATCH($A73,'AVALIAÇÃO MAPA'!$AU$6:$AU$105,0)))</f>
        <v/>
      </c>
      <c r="D73" s="15" t="str">
        <f aca="false">IF($A73="","",INDEX('AVALIAÇÃO MAPA'!$C$6:$C$105,MATCH($A73,'AVALIAÇÃO MAPA'!$AU$6:$AU$105,0)))</f>
        <v/>
      </c>
      <c r="E73" s="35" t="str">
        <f aca="false">IF($A73="","",INDEX('AVALIAÇÃO MAPA'!$AN$6:$AN$105,MATCH($A73,'AVALIAÇÃO MAPA'!$AU$6:$AU$105,0)))</f>
        <v/>
      </c>
      <c r="F73" s="29" t="str">
        <f aca="false">IF($A73="","",INDEX('AVALIAÇÃO MAPA'!$AJ$6:$AJ$105,MATCH($A73,'AVALIAÇÃO MAPA'!$AU$6:$AU$105,0)))</f>
        <v/>
      </c>
      <c r="G73" s="29" t="str">
        <f aca="false">IF($A73="","",INDEX('AVALIAÇÃO MAPA'!$AM$6:$AM$105,MATCH($A73,'AVALIAÇÃO MAPA'!$AU$6:$AU$105,0)))</f>
        <v/>
      </c>
      <c r="H73" s="15" t="str">
        <f aca="false">IF($A73="","",INDEX('AVALIAÇÃO MAPA'!$AS$6:$AS$105,MATCH($A73,'AVALIAÇÃO MAPA'!$AU$6:$AU$105,0)))</f>
        <v/>
      </c>
      <c r="I73" s="15" t="str">
        <f aca="false">IF($A73="","",INDEX('AVALIAÇÃO MAPA'!$AP$6:$AP$105,MATCH($A73,'AVALIAÇÃO MAPA'!$AU$6:$AU$105,0)))</f>
        <v/>
      </c>
      <c r="J73" s="15" t="str">
        <f aca="false">IF($A73="","",INDEX('AVALIAÇÃO MAPA'!$AQ$6:$AQ$105,MATCH($A73,'AVALIAÇÃO MAPA'!$AU$6:$AU$105,0)))</f>
        <v/>
      </c>
      <c r="K73" s="15" t="str">
        <f aca="false">IF($A73="","",INDEX('AVALIAÇÃO MAPA'!$AR$6:$AR$105,MATCH($A73,'AVALIAÇÃO MAPA'!$AU$6:$AU$105,0)))</f>
        <v/>
      </c>
      <c r="L73" s="15" t="str">
        <f aca="false">IF($A73="","",INDEX('AVALIAÇÃO MAPA'!$AT$6:$AT$105,MATCH($A73,'AVALIAÇÃO MAPA'!$AU$6:$AU$105,0)))</f>
        <v/>
      </c>
      <c r="M73" s="15" t="str">
        <f aca="false">IF($A73="","",INDEX('AVALIAÇÃO MAPA'!$AW$6:$AW$105,MATCH($A73,'AVALIAÇÃO MAPA'!$AU$6:$AU$105,0)))</f>
        <v/>
      </c>
      <c r="N73" s="27" t="str">
        <f aca="false">IF($A73="","",INDEX('AVALIAÇÃO MAPA'!$BB$6:$BB$105,MATCH($A73,'AVALIAÇÃO MAPA'!$AU$6:$AU$105,0)))</f>
        <v/>
      </c>
      <c r="W73" s="32" t="n">
        <v>68</v>
      </c>
      <c r="X73" s="32" t="n">
        <f aca="false">IF(AND('AVALIAÇÃO MAPA'!AN73&lt;&gt;"",'AVALIAÇÃO MAPA'!D73=1),'AVALIAÇÃO MAPA'!AM73,-1)</f>
        <v>-1</v>
      </c>
      <c r="Y73" s="32" t="n">
        <f aca="false">IF(AND('AVALIAÇÃO MAPA'!AN73&lt;&gt;"",'AVALIAÇÃO MAPA'!D73=1),'AVALIAÇÃO MAPA'!AJ73,-1)</f>
        <v>-1</v>
      </c>
      <c r="Z73" s="32" t="str">
        <f aca="false">'AVALIAÇÃO MAPA'!AS73</f>
        <v/>
      </c>
      <c r="AA73" s="32" t="str">
        <f aca="false">'AVALIAÇÃO MAPA'!AP73</f>
        <v/>
      </c>
      <c r="AB73" s="32" t="n">
        <f aca="false">IF(Z73="Fazer primeiro",Y73,-1)</f>
        <v>-1</v>
      </c>
      <c r="AC73" s="32" t="n">
        <f aca="false">IF(Z73="Projeto estratégico",Y73,-1)</f>
        <v>-1</v>
      </c>
      <c r="AD73" s="32" t="n">
        <f aca="false">IF(Z73="Quick win",Y73,-1)</f>
        <v>-1</v>
      </c>
      <c r="AE73" s="32" t="n">
        <f aca="false">IF(Z73="Evitar",Y73,-1)</f>
        <v>-1</v>
      </c>
      <c r="AF73" s="32" t="n">
        <f aca="false">IF(AA73="SIM",Y73,-1)</f>
        <v>-1</v>
      </c>
    </row>
    <row r="74" customFormat="false" ht="15" hidden="false" customHeight="false" outlineLevel="0" collapsed="false">
      <c r="A74" s="15" t="str">
        <f aca="false">IF(COUNT('AVALIAÇÃO MAPA'!$AU$6:$AU$105)&gt;=69,69,"")</f>
        <v/>
      </c>
      <c r="B74" s="15" t="str">
        <f aca="false">IF($A74="","",INDEX('AVALIAÇÃO MAPA'!$A$6:$A$105,MATCH($A74,'AVALIAÇÃO MAPA'!$AU$6:$AU$105,0)))</f>
        <v/>
      </c>
      <c r="C74" s="18" t="str">
        <f aca="false">IF($A74="","",INDEX('AVALIAÇÃO MAPA'!$B$6:$B$105,MATCH($A74,'AVALIAÇÃO MAPA'!$AU$6:$AU$105,0)))</f>
        <v/>
      </c>
      <c r="D74" s="15" t="str">
        <f aca="false">IF($A74="","",INDEX('AVALIAÇÃO MAPA'!$C$6:$C$105,MATCH($A74,'AVALIAÇÃO MAPA'!$AU$6:$AU$105,0)))</f>
        <v/>
      </c>
      <c r="E74" s="35" t="str">
        <f aca="false">IF($A74="","",INDEX('AVALIAÇÃO MAPA'!$AN$6:$AN$105,MATCH($A74,'AVALIAÇÃO MAPA'!$AU$6:$AU$105,0)))</f>
        <v/>
      </c>
      <c r="F74" s="29" t="str">
        <f aca="false">IF($A74="","",INDEX('AVALIAÇÃO MAPA'!$AJ$6:$AJ$105,MATCH($A74,'AVALIAÇÃO MAPA'!$AU$6:$AU$105,0)))</f>
        <v/>
      </c>
      <c r="G74" s="29" t="str">
        <f aca="false">IF($A74="","",INDEX('AVALIAÇÃO MAPA'!$AM$6:$AM$105,MATCH($A74,'AVALIAÇÃO MAPA'!$AU$6:$AU$105,0)))</f>
        <v/>
      </c>
      <c r="H74" s="15" t="str">
        <f aca="false">IF($A74="","",INDEX('AVALIAÇÃO MAPA'!$AS$6:$AS$105,MATCH($A74,'AVALIAÇÃO MAPA'!$AU$6:$AU$105,0)))</f>
        <v/>
      </c>
      <c r="I74" s="15" t="str">
        <f aca="false">IF($A74="","",INDEX('AVALIAÇÃO MAPA'!$AP$6:$AP$105,MATCH($A74,'AVALIAÇÃO MAPA'!$AU$6:$AU$105,0)))</f>
        <v/>
      </c>
      <c r="J74" s="15" t="str">
        <f aca="false">IF($A74="","",INDEX('AVALIAÇÃO MAPA'!$AQ$6:$AQ$105,MATCH($A74,'AVALIAÇÃO MAPA'!$AU$6:$AU$105,0)))</f>
        <v/>
      </c>
      <c r="K74" s="15" t="str">
        <f aca="false">IF($A74="","",INDEX('AVALIAÇÃO MAPA'!$AR$6:$AR$105,MATCH($A74,'AVALIAÇÃO MAPA'!$AU$6:$AU$105,0)))</f>
        <v/>
      </c>
      <c r="L74" s="15" t="str">
        <f aca="false">IF($A74="","",INDEX('AVALIAÇÃO MAPA'!$AT$6:$AT$105,MATCH($A74,'AVALIAÇÃO MAPA'!$AU$6:$AU$105,0)))</f>
        <v/>
      </c>
      <c r="M74" s="15" t="str">
        <f aca="false">IF($A74="","",INDEX('AVALIAÇÃO MAPA'!$AW$6:$AW$105,MATCH($A74,'AVALIAÇÃO MAPA'!$AU$6:$AU$105,0)))</f>
        <v/>
      </c>
      <c r="N74" s="27" t="str">
        <f aca="false">IF($A74="","",INDEX('AVALIAÇÃO MAPA'!$BB$6:$BB$105,MATCH($A74,'AVALIAÇÃO MAPA'!$AU$6:$AU$105,0)))</f>
        <v/>
      </c>
      <c r="W74" s="32" t="n">
        <v>69</v>
      </c>
      <c r="X74" s="32" t="n">
        <f aca="false">IF(AND('AVALIAÇÃO MAPA'!AN74&lt;&gt;"",'AVALIAÇÃO MAPA'!D74=1),'AVALIAÇÃO MAPA'!AM74,-1)</f>
        <v>-1</v>
      </c>
      <c r="Y74" s="32" t="n">
        <f aca="false">IF(AND('AVALIAÇÃO MAPA'!AN74&lt;&gt;"",'AVALIAÇÃO MAPA'!D74=1),'AVALIAÇÃO MAPA'!AJ74,-1)</f>
        <v>-1</v>
      </c>
      <c r="Z74" s="32" t="str">
        <f aca="false">'AVALIAÇÃO MAPA'!AS74</f>
        <v/>
      </c>
      <c r="AA74" s="32" t="str">
        <f aca="false">'AVALIAÇÃO MAPA'!AP74</f>
        <v/>
      </c>
      <c r="AB74" s="32" t="n">
        <f aca="false">IF(Z74="Fazer primeiro",Y74,-1)</f>
        <v>-1</v>
      </c>
      <c r="AC74" s="32" t="n">
        <f aca="false">IF(Z74="Projeto estratégico",Y74,-1)</f>
        <v>-1</v>
      </c>
      <c r="AD74" s="32" t="n">
        <f aca="false">IF(Z74="Quick win",Y74,-1)</f>
        <v>-1</v>
      </c>
      <c r="AE74" s="32" t="n">
        <f aca="false">IF(Z74="Evitar",Y74,-1)</f>
        <v>-1</v>
      </c>
      <c r="AF74" s="32" t="n">
        <f aca="false">IF(AA74="SIM",Y74,-1)</f>
        <v>-1</v>
      </c>
    </row>
    <row r="75" customFormat="false" ht="15" hidden="false" customHeight="false" outlineLevel="0" collapsed="false">
      <c r="A75" s="15" t="str">
        <f aca="false">IF(COUNT('AVALIAÇÃO MAPA'!$AU$6:$AU$105)&gt;=70,70,"")</f>
        <v/>
      </c>
      <c r="B75" s="15" t="str">
        <f aca="false">IF($A75="","",INDEX('AVALIAÇÃO MAPA'!$A$6:$A$105,MATCH($A75,'AVALIAÇÃO MAPA'!$AU$6:$AU$105,0)))</f>
        <v/>
      </c>
      <c r="C75" s="18" t="str">
        <f aca="false">IF($A75="","",INDEX('AVALIAÇÃO MAPA'!$B$6:$B$105,MATCH($A75,'AVALIAÇÃO MAPA'!$AU$6:$AU$105,0)))</f>
        <v/>
      </c>
      <c r="D75" s="15" t="str">
        <f aca="false">IF($A75="","",INDEX('AVALIAÇÃO MAPA'!$C$6:$C$105,MATCH($A75,'AVALIAÇÃO MAPA'!$AU$6:$AU$105,0)))</f>
        <v/>
      </c>
      <c r="E75" s="35" t="str">
        <f aca="false">IF($A75="","",INDEX('AVALIAÇÃO MAPA'!$AN$6:$AN$105,MATCH($A75,'AVALIAÇÃO MAPA'!$AU$6:$AU$105,0)))</f>
        <v/>
      </c>
      <c r="F75" s="29" t="str">
        <f aca="false">IF($A75="","",INDEX('AVALIAÇÃO MAPA'!$AJ$6:$AJ$105,MATCH($A75,'AVALIAÇÃO MAPA'!$AU$6:$AU$105,0)))</f>
        <v/>
      </c>
      <c r="G75" s="29" t="str">
        <f aca="false">IF($A75="","",INDEX('AVALIAÇÃO MAPA'!$AM$6:$AM$105,MATCH($A75,'AVALIAÇÃO MAPA'!$AU$6:$AU$105,0)))</f>
        <v/>
      </c>
      <c r="H75" s="15" t="str">
        <f aca="false">IF($A75="","",INDEX('AVALIAÇÃO MAPA'!$AS$6:$AS$105,MATCH($A75,'AVALIAÇÃO MAPA'!$AU$6:$AU$105,0)))</f>
        <v/>
      </c>
      <c r="I75" s="15" t="str">
        <f aca="false">IF($A75="","",INDEX('AVALIAÇÃO MAPA'!$AP$6:$AP$105,MATCH($A75,'AVALIAÇÃO MAPA'!$AU$6:$AU$105,0)))</f>
        <v/>
      </c>
      <c r="J75" s="15" t="str">
        <f aca="false">IF($A75="","",INDEX('AVALIAÇÃO MAPA'!$AQ$6:$AQ$105,MATCH($A75,'AVALIAÇÃO MAPA'!$AU$6:$AU$105,0)))</f>
        <v/>
      </c>
      <c r="K75" s="15" t="str">
        <f aca="false">IF($A75="","",INDEX('AVALIAÇÃO MAPA'!$AR$6:$AR$105,MATCH($A75,'AVALIAÇÃO MAPA'!$AU$6:$AU$105,0)))</f>
        <v/>
      </c>
      <c r="L75" s="15" t="str">
        <f aca="false">IF($A75="","",INDEX('AVALIAÇÃO MAPA'!$AT$6:$AT$105,MATCH($A75,'AVALIAÇÃO MAPA'!$AU$6:$AU$105,0)))</f>
        <v/>
      </c>
      <c r="M75" s="15" t="str">
        <f aca="false">IF($A75="","",INDEX('AVALIAÇÃO MAPA'!$AW$6:$AW$105,MATCH($A75,'AVALIAÇÃO MAPA'!$AU$6:$AU$105,0)))</f>
        <v/>
      </c>
      <c r="N75" s="27" t="str">
        <f aca="false">IF($A75="","",INDEX('AVALIAÇÃO MAPA'!$BB$6:$BB$105,MATCH($A75,'AVALIAÇÃO MAPA'!$AU$6:$AU$105,0)))</f>
        <v/>
      </c>
      <c r="W75" s="32" t="n">
        <v>70</v>
      </c>
      <c r="X75" s="32" t="n">
        <f aca="false">IF(AND('AVALIAÇÃO MAPA'!AN75&lt;&gt;"",'AVALIAÇÃO MAPA'!D75=1),'AVALIAÇÃO MAPA'!AM75,-1)</f>
        <v>-1</v>
      </c>
      <c r="Y75" s="32" t="n">
        <f aca="false">IF(AND('AVALIAÇÃO MAPA'!AN75&lt;&gt;"",'AVALIAÇÃO MAPA'!D75=1),'AVALIAÇÃO MAPA'!AJ75,-1)</f>
        <v>-1</v>
      </c>
      <c r="Z75" s="32" t="str">
        <f aca="false">'AVALIAÇÃO MAPA'!AS75</f>
        <v/>
      </c>
      <c r="AA75" s="32" t="str">
        <f aca="false">'AVALIAÇÃO MAPA'!AP75</f>
        <v/>
      </c>
      <c r="AB75" s="32" t="n">
        <f aca="false">IF(Z75="Fazer primeiro",Y75,-1)</f>
        <v>-1</v>
      </c>
      <c r="AC75" s="32" t="n">
        <f aca="false">IF(Z75="Projeto estratégico",Y75,-1)</f>
        <v>-1</v>
      </c>
      <c r="AD75" s="32" t="n">
        <f aca="false">IF(Z75="Quick win",Y75,-1)</f>
        <v>-1</v>
      </c>
      <c r="AE75" s="32" t="n">
        <f aca="false">IF(Z75="Evitar",Y75,-1)</f>
        <v>-1</v>
      </c>
      <c r="AF75" s="32" t="n">
        <f aca="false">IF(AA75="SIM",Y75,-1)</f>
        <v>-1</v>
      </c>
    </row>
    <row r="76" customFormat="false" ht="15" hidden="false" customHeight="false" outlineLevel="0" collapsed="false">
      <c r="A76" s="15" t="str">
        <f aca="false">IF(COUNT('AVALIAÇÃO MAPA'!$AU$6:$AU$105)&gt;=71,71,"")</f>
        <v/>
      </c>
      <c r="B76" s="15" t="str">
        <f aca="false">IF($A76="","",INDEX('AVALIAÇÃO MAPA'!$A$6:$A$105,MATCH($A76,'AVALIAÇÃO MAPA'!$AU$6:$AU$105,0)))</f>
        <v/>
      </c>
      <c r="C76" s="18" t="str">
        <f aca="false">IF($A76="","",INDEX('AVALIAÇÃO MAPA'!$B$6:$B$105,MATCH($A76,'AVALIAÇÃO MAPA'!$AU$6:$AU$105,0)))</f>
        <v/>
      </c>
      <c r="D76" s="15" t="str">
        <f aca="false">IF($A76="","",INDEX('AVALIAÇÃO MAPA'!$C$6:$C$105,MATCH($A76,'AVALIAÇÃO MAPA'!$AU$6:$AU$105,0)))</f>
        <v/>
      </c>
      <c r="E76" s="35" t="str">
        <f aca="false">IF($A76="","",INDEX('AVALIAÇÃO MAPA'!$AN$6:$AN$105,MATCH($A76,'AVALIAÇÃO MAPA'!$AU$6:$AU$105,0)))</f>
        <v/>
      </c>
      <c r="F76" s="29" t="str">
        <f aca="false">IF($A76="","",INDEX('AVALIAÇÃO MAPA'!$AJ$6:$AJ$105,MATCH($A76,'AVALIAÇÃO MAPA'!$AU$6:$AU$105,0)))</f>
        <v/>
      </c>
      <c r="G76" s="29" t="str">
        <f aca="false">IF($A76="","",INDEX('AVALIAÇÃO MAPA'!$AM$6:$AM$105,MATCH($A76,'AVALIAÇÃO MAPA'!$AU$6:$AU$105,0)))</f>
        <v/>
      </c>
      <c r="H76" s="15" t="str">
        <f aca="false">IF($A76="","",INDEX('AVALIAÇÃO MAPA'!$AS$6:$AS$105,MATCH($A76,'AVALIAÇÃO MAPA'!$AU$6:$AU$105,0)))</f>
        <v/>
      </c>
      <c r="I76" s="15" t="str">
        <f aca="false">IF($A76="","",INDEX('AVALIAÇÃO MAPA'!$AP$6:$AP$105,MATCH($A76,'AVALIAÇÃO MAPA'!$AU$6:$AU$105,0)))</f>
        <v/>
      </c>
      <c r="J76" s="15" t="str">
        <f aca="false">IF($A76="","",INDEX('AVALIAÇÃO MAPA'!$AQ$6:$AQ$105,MATCH($A76,'AVALIAÇÃO MAPA'!$AU$6:$AU$105,0)))</f>
        <v/>
      </c>
      <c r="K76" s="15" t="str">
        <f aca="false">IF($A76="","",INDEX('AVALIAÇÃO MAPA'!$AR$6:$AR$105,MATCH($A76,'AVALIAÇÃO MAPA'!$AU$6:$AU$105,0)))</f>
        <v/>
      </c>
      <c r="L76" s="15" t="str">
        <f aca="false">IF($A76="","",INDEX('AVALIAÇÃO MAPA'!$AT$6:$AT$105,MATCH($A76,'AVALIAÇÃO MAPA'!$AU$6:$AU$105,0)))</f>
        <v/>
      </c>
      <c r="M76" s="15" t="str">
        <f aca="false">IF($A76="","",INDEX('AVALIAÇÃO MAPA'!$AW$6:$AW$105,MATCH($A76,'AVALIAÇÃO MAPA'!$AU$6:$AU$105,0)))</f>
        <v/>
      </c>
      <c r="N76" s="27" t="str">
        <f aca="false">IF($A76="","",INDEX('AVALIAÇÃO MAPA'!$BB$6:$BB$105,MATCH($A76,'AVALIAÇÃO MAPA'!$AU$6:$AU$105,0)))</f>
        <v/>
      </c>
      <c r="W76" s="32" t="n">
        <v>71</v>
      </c>
      <c r="X76" s="32" t="n">
        <f aca="false">IF(AND('AVALIAÇÃO MAPA'!AN76&lt;&gt;"",'AVALIAÇÃO MAPA'!D76=1),'AVALIAÇÃO MAPA'!AM76,-1)</f>
        <v>-1</v>
      </c>
      <c r="Y76" s="32" t="n">
        <f aca="false">IF(AND('AVALIAÇÃO MAPA'!AN76&lt;&gt;"",'AVALIAÇÃO MAPA'!D76=1),'AVALIAÇÃO MAPA'!AJ76,-1)</f>
        <v>-1</v>
      </c>
      <c r="Z76" s="32" t="str">
        <f aca="false">'AVALIAÇÃO MAPA'!AS76</f>
        <v/>
      </c>
      <c r="AA76" s="32" t="str">
        <f aca="false">'AVALIAÇÃO MAPA'!AP76</f>
        <v/>
      </c>
      <c r="AB76" s="32" t="n">
        <f aca="false">IF(Z76="Fazer primeiro",Y76,-1)</f>
        <v>-1</v>
      </c>
      <c r="AC76" s="32" t="n">
        <f aca="false">IF(Z76="Projeto estratégico",Y76,-1)</f>
        <v>-1</v>
      </c>
      <c r="AD76" s="32" t="n">
        <f aca="false">IF(Z76="Quick win",Y76,-1)</f>
        <v>-1</v>
      </c>
      <c r="AE76" s="32" t="n">
        <f aca="false">IF(Z76="Evitar",Y76,-1)</f>
        <v>-1</v>
      </c>
      <c r="AF76" s="32" t="n">
        <f aca="false">IF(AA76="SIM",Y76,-1)</f>
        <v>-1</v>
      </c>
    </row>
    <row r="77" customFormat="false" ht="15" hidden="false" customHeight="false" outlineLevel="0" collapsed="false">
      <c r="A77" s="15" t="str">
        <f aca="false">IF(COUNT('AVALIAÇÃO MAPA'!$AU$6:$AU$105)&gt;=72,72,"")</f>
        <v/>
      </c>
      <c r="B77" s="15" t="str">
        <f aca="false">IF($A77="","",INDEX('AVALIAÇÃO MAPA'!$A$6:$A$105,MATCH($A77,'AVALIAÇÃO MAPA'!$AU$6:$AU$105,0)))</f>
        <v/>
      </c>
      <c r="C77" s="18" t="str">
        <f aca="false">IF($A77="","",INDEX('AVALIAÇÃO MAPA'!$B$6:$B$105,MATCH($A77,'AVALIAÇÃO MAPA'!$AU$6:$AU$105,0)))</f>
        <v/>
      </c>
      <c r="D77" s="15" t="str">
        <f aca="false">IF($A77="","",INDEX('AVALIAÇÃO MAPA'!$C$6:$C$105,MATCH($A77,'AVALIAÇÃO MAPA'!$AU$6:$AU$105,0)))</f>
        <v/>
      </c>
      <c r="E77" s="35" t="str">
        <f aca="false">IF($A77="","",INDEX('AVALIAÇÃO MAPA'!$AN$6:$AN$105,MATCH($A77,'AVALIAÇÃO MAPA'!$AU$6:$AU$105,0)))</f>
        <v/>
      </c>
      <c r="F77" s="29" t="str">
        <f aca="false">IF($A77="","",INDEX('AVALIAÇÃO MAPA'!$AJ$6:$AJ$105,MATCH($A77,'AVALIAÇÃO MAPA'!$AU$6:$AU$105,0)))</f>
        <v/>
      </c>
      <c r="G77" s="29" t="str">
        <f aca="false">IF($A77="","",INDEX('AVALIAÇÃO MAPA'!$AM$6:$AM$105,MATCH($A77,'AVALIAÇÃO MAPA'!$AU$6:$AU$105,0)))</f>
        <v/>
      </c>
      <c r="H77" s="15" t="str">
        <f aca="false">IF($A77="","",INDEX('AVALIAÇÃO MAPA'!$AS$6:$AS$105,MATCH($A77,'AVALIAÇÃO MAPA'!$AU$6:$AU$105,0)))</f>
        <v/>
      </c>
      <c r="I77" s="15" t="str">
        <f aca="false">IF($A77="","",INDEX('AVALIAÇÃO MAPA'!$AP$6:$AP$105,MATCH($A77,'AVALIAÇÃO MAPA'!$AU$6:$AU$105,0)))</f>
        <v/>
      </c>
      <c r="J77" s="15" t="str">
        <f aca="false">IF($A77="","",INDEX('AVALIAÇÃO MAPA'!$AQ$6:$AQ$105,MATCH($A77,'AVALIAÇÃO MAPA'!$AU$6:$AU$105,0)))</f>
        <v/>
      </c>
      <c r="K77" s="15" t="str">
        <f aca="false">IF($A77="","",INDEX('AVALIAÇÃO MAPA'!$AR$6:$AR$105,MATCH($A77,'AVALIAÇÃO MAPA'!$AU$6:$AU$105,0)))</f>
        <v/>
      </c>
      <c r="L77" s="15" t="str">
        <f aca="false">IF($A77="","",INDEX('AVALIAÇÃO MAPA'!$AT$6:$AT$105,MATCH($A77,'AVALIAÇÃO MAPA'!$AU$6:$AU$105,0)))</f>
        <v/>
      </c>
      <c r="M77" s="15" t="str">
        <f aca="false">IF($A77="","",INDEX('AVALIAÇÃO MAPA'!$AW$6:$AW$105,MATCH($A77,'AVALIAÇÃO MAPA'!$AU$6:$AU$105,0)))</f>
        <v/>
      </c>
      <c r="N77" s="27" t="str">
        <f aca="false">IF($A77="","",INDEX('AVALIAÇÃO MAPA'!$BB$6:$BB$105,MATCH($A77,'AVALIAÇÃO MAPA'!$AU$6:$AU$105,0)))</f>
        <v/>
      </c>
      <c r="W77" s="32" t="n">
        <v>72</v>
      </c>
      <c r="X77" s="32" t="n">
        <f aca="false">IF(AND('AVALIAÇÃO MAPA'!AN77&lt;&gt;"",'AVALIAÇÃO MAPA'!D77=1),'AVALIAÇÃO MAPA'!AM77,-1)</f>
        <v>-1</v>
      </c>
      <c r="Y77" s="32" t="n">
        <f aca="false">IF(AND('AVALIAÇÃO MAPA'!AN77&lt;&gt;"",'AVALIAÇÃO MAPA'!D77=1),'AVALIAÇÃO MAPA'!AJ77,-1)</f>
        <v>-1</v>
      </c>
      <c r="Z77" s="32" t="str">
        <f aca="false">'AVALIAÇÃO MAPA'!AS77</f>
        <v/>
      </c>
      <c r="AA77" s="32" t="str">
        <f aca="false">'AVALIAÇÃO MAPA'!AP77</f>
        <v/>
      </c>
      <c r="AB77" s="32" t="n">
        <f aca="false">IF(Z77="Fazer primeiro",Y77,-1)</f>
        <v>-1</v>
      </c>
      <c r="AC77" s="32" t="n">
        <f aca="false">IF(Z77="Projeto estratégico",Y77,-1)</f>
        <v>-1</v>
      </c>
      <c r="AD77" s="32" t="n">
        <f aca="false">IF(Z77="Quick win",Y77,-1)</f>
        <v>-1</v>
      </c>
      <c r="AE77" s="32" t="n">
        <f aca="false">IF(Z77="Evitar",Y77,-1)</f>
        <v>-1</v>
      </c>
      <c r="AF77" s="32" t="n">
        <f aca="false">IF(AA77="SIM",Y77,-1)</f>
        <v>-1</v>
      </c>
    </row>
    <row r="78" customFormat="false" ht="15" hidden="false" customHeight="false" outlineLevel="0" collapsed="false">
      <c r="A78" s="15" t="str">
        <f aca="false">IF(COUNT('AVALIAÇÃO MAPA'!$AU$6:$AU$105)&gt;=73,73,"")</f>
        <v/>
      </c>
      <c r="B78" s="15" t="str">
        <f aca="false">IF($A78="","",INDEX('AVALIAÇÃO MAPA'!$A$6:$A$105,MATCH($A78,'AVALIAÇÃO MAPA'!$AU$6:$AU$105,0)))</f>
        <v/>
      </c>
      <c r="C78" s="18" t="str">
        <f aca="false">IF($A78="","",INDEX('AVALIAÇÃO MAPA'!$B$6:$B$105,MATCH($A78,'AVALIAÇÃO MAPA'!$AU$6:$AU$105,0)))</f>
        <v/>
      </c>
      <c r="D78" s="15" t="str">
        <f aca="false">IF($A78="","",INDEX('AVALIAÇÃO MAPA'!$C$6:$C$105,MATCH($A78,'AVALIAÇÃO MAPA'!$AU$6:$AU$105,0)))</f>
        <v/>
      </c>
      <c r="E78" s="35" t="str">
        <f aca="false">IF($A78="","",INDEX('AVALIAÇÃO MAPA'!$AN$6:$AN$105,MATCH($A78,'AVALIAÇÃO MAPA'!$AU$6:$AU$105,0)))</f>
        <v/>
      </c>
      <c r="F78" s="29" t="str">
        <f aca="false">IF($A78="","",INDEX('AVALIAÇÃO MAPA'!$AJ$6:$AJ$105,MATCH($A78,'AVALIAÇÃO MAPA'!$AU$6:$AU$105,0)))</f>
        <v/>
      </c>
      <c r="G78" s="29" t="str">
        <f aca="false">IF($A78="","",INDEX('AVALIAÇÃO MAPA'!$AM$6:$AM$105,MATCH($A78,'AVALIAÇÃO MAPA'!$AU$6:$AU$105,0)))</f>
        <v/>
      </c>
      <c r="H78" s="15" t="str">
        <f aca="false">IF($A78="","",INDEX('AVALIAÇÃO MAPA'!$AS$6:$AS$105,MATCH($A78,'AVALIAÇÃO MAPA'!$AU$6:$AU$105,0)))</f>
        <v/>
      </c>
      <c r="I78" s="15" t="str">
        <f aca="false">IF($A78="","",INDEX('AVALIAÇÃO MAPA'!$AP$6:$AP$105,MATCH($A78,'AVALIAÇÃO MAPA'!$AU$6:$AU$105,0)))</f>
        <v/>
      </c>
      <c r="J78" s="15" t="str">
        <f aca="false">IF($A78="","",INDEX('AVALIAÇÃO MAPA'!$AQ$6:$AQ$105,MATCH($A78,'AVALIAÇÃO MAPA'!$AU$6:$AU$105,0)))</f>
        <v/>
      </c>
      <c r="K78" s="15" t="str">
        <f aca="false">IF($A78="","",INDEX('AVALIAÇÃO MAPA'!$AR$6:$AR$105,MATCH($A78,'AVALIAÇÃO MAPA'!$AU$6:$AU$105,0)))</f>
        <v/>
      </c>
      <c r="L78" s="15" t="str">
        <f aca="false">IF($A78="","",INDEX('AVALIAÇÃO MAPA'!$AT$6:$AT$105,MATCH($A78,'AVALIAÇÃO MAPA'!$AU$6:$AU$105,0)))</f>
        <v/>
      </c>
      <c r="M78" s="15" t="str">
        <f aca="false">IF($A78="","",INDEX('AVALIAÇÃO MAPA'!$AW$6:$AW$105,MATCH($A78,'AVALIAÇÃO MAPA'!$AU$6:$AU$105,0)))</f>
        <v/>
      </c>
      <c r="N78" s="27" t="str">
        <f aca="false">IF($A78="","",INDEX('AVALIAÇÃO MAPA'!$BB$6:$BB$105,MATCH($A78,'AVALIAÇÃO MAPA'!$AU$6:$AU$105,0)))</f>
        <v/>
      </c>
      <c r="W78" s="32" t="n">
        <v>73</v>
      </c>
      <c r="X78" s="32" t="n">
        <f aca="false">IF(AND('AVALIAÇÃO MAPA'!AN78&lt;&gt;"",'AVALIAÇÃO MAPA'!D78=1),'AVALIAÇÃO MAPA'!AM78,-1)</f>
        <v>-1</v>
      </c>
      <c r="Y78" s="32" t="n">
        <f aca="false">IF(AND('AVALIAÇÃO MAPA'!AN78&lt;&gt;"",'AVALIAÇÃO MAPA'!D78=1),'AVALIAÇÃO MAPA'!AJ78,-1)</f>
        <v>-1</v>
      </c>
      <c r="Z78" s="32" t="str">
        <f aca="false">'AVALIAÇÃO MAPA'!AS78</f>
        <v/>
      </c>
      <c r="AA78" s="32" t="str">
        <f aca="false">'AVALIAÇÃO MAPA'!AP78</f>
        <v/>
      </c>
      <c r="AB78" s="32" t="n">
        <f aca="false">IF(Z78="Fazer primeiro",Y78,-1)</f>
        <v>-1</v>
      </c>
      <c r="AC78" s="32" t="n">
        <f aca="false">IF(Z78="Projeto estratégico",Y78,-1)</f>
        <v>-1</v>
      </c>
      <c r="AD78" s="32" t="n">
        <f aca="false">IF(Z78="Quick win",Y78,-1)</f>
        <v>-1</v>
      </c>
      <c r="AE78" s="32" t="n">
        <f aca="false">IF(Z78="Evitar",Y78,-1)</f>
        <v>-1</v>
      </c>
      <c r="AF78" s="32" t="n">
        <f aca="false">IF(AA78="SIM",Y78,-1)</f>
        <v>-1</v>
      </c>
    </row>
    <row r="79" customFormat="false" ht="15" hidden="false" customHeight="false" outlineLevel="0" collapsed="false">
      <c r="A79" s="15" t="str">
        <f aca="false">IF(COUNT('AVALIAÇÃO MAPA'!$AU$6:$AU$105)&gt;=74,74,"")</f>
        <v/>
      </c>
      <c r="B79" s="15" t="str">
        <f aca="false">IF($A79="","",INDEX('AVALIAÇÃO MAPA'!$A$6:$A$105,MATCH($A79,'AVALIAÇÃO MAPA'!$AU$6:$AU$105,0)))</f>
        <v/>
      </c>
      <c r="C79" s="18" t="str">
        <f aca="false">IF($A79="","",INDEX('AVALIAÇÃO MAPA'!$B$6:$B$105,MATCH($A79,'AVALIAÇÃO MAPA'!$AU$6:$AU$105,0)))</f>
        <v/>
      </c>
      <c r="D79" s="15" t="str">
        <f aca="false">IF($A79="","",INDEX('AVALIAÇÃO MAPA'!$C$6:$C$105,MATCH($A79,'AVALIAÇÃO MAPA'!$AU$6:$AU$105,0)))</f>
        <v/>
      </c>
      <c r="E79" s="35" t="str">
        <f aca="false">IF($A79="","",INDEX('AVALIAÇÃO MAPA'!$AN$6:$AN$105,MATCH($A79,'AVALIAÇÃO MAPA'!$AU$6:$AU$105,0)))</f>
        <v/>
      </c>
      <c r="F79" s="29" t="str">
        <f aca="false">IF($A79="","",INDEX('AVALIAÇÃO MAPA'!$AJ$6:$AJ$105,MATCH($A79,'AVALIAÇÃO MAPA'!$AU$6:$AU$105,0)))</f>
        <v/>
      </c>
      <c r="G79" s="29" t="str">
        <f aca="false">IF($A79="","",INDEX('AVALIAÇÃO MAPA'!$AM$6:$AM$105,MATCH($A79,'AVALIAÇÃO MAPA'!$AU$6:$AU$105,0)))</f>
        <v/>
      </c>
      <c r="H79" s="15" t="str">
        <f aca="false">IF($A79="","",INDEX('AVALIAÇÃO MAPA'!$AS$6:$AS$105,MATCH($A79,'AVALIAÇÃO MAPA'!$AU$6:$AU$105,0)))</f>
        <v/>
      </c>
      <c r="I79" s="15" t="str">
        <f aca="false">IF($A79="","",INDEX('AVALIAÇÃO MAPA'!$AP$6:$AP$105,MATCH($A79,'AVALIAÇÃO MAPA'!$AU$6:$AU$105,0)))</f>
        <v/>
      </c>
      <c r="J79" s="15" t="str">
        <f aca="false">IF($A79="","",INDEX('AVALIAÇÃO MAPA'!$AQ$6:$AQ$105,MATCH($A79,'AVALIAÇÃO MAPA'!$AU$6:$AU$105,0)))</f>
        <v/>
      </c>
      <c r="K79" s="15" t="str">
        <f aca="false">IF($A79="","",INDEX('AVALIAÇÃO MAPA'!$AR$6:$AR$105,MATCH($A79,'AVALIAÇÃO MAPA'!$AU$6:$AU$105,0)))</f>
        <v/>
      </c>
      <c r="L79" s="15" t="str">
        <f aca="false">IF($A79="","",INDEX('AVALIAÇÃO MAPA'!$AT$6:$AT$105,MATCH($A79,'AVALIAÇÃO MAPA'!$AU$6:$AU$105,0)))</f>
        <v/>
      </c>
      <c r="M79" s="15" t="str">
        <f aca="false">IF($A79="","",INDEX('AVALIAÇÃO MAPA'!$AW$6:$AW$105,MATCH($A79,'AVALIAÇÃO MAPA'!$AU$6:$AU$105,0)))</f>
        <v/>
      </c>
      <c r="N79" s="27" t="str">
        <f aca="false">IF($A79="","",INDEX('AVALIAÇÃO MAPA'!$BB$6:$BB$105,MATCH($A79,'AVALIAÇÃO MAPA'!$AU$6:$AU$105,0)))</f>
        <v/>
      </c>
      <c r="W79" s="32" t="n">
        <v>74</v>
      </c>
      <c r="X79" s="32" t="n">
        <f aca="false">IF(AND('AVALIAÇÃO MAPA'!AN79&lt;&gt;"",'AVALIAÇÃO MAPA'!D79=1),'AVALIAÇÃO MAPA'!AM79,-1)</f>
        <v>-1</v>
      </c>
      <c r="Y79" s="32" t="n">
        <f aca="false">IF(AND('AVALIAÇÃO MAPA'!AN79&lt;&gt;"",'AVALIAÇÃO MAPA'!D79=1),'AVALIAÇÃO MAPA'!AJ79,-1)</f>
        <v>-1</v>
      </c>
      <c r="Z79" s="32" t="str">
        <f aca="false">'AVALIAÇÃO MAPA'!AS79</f>
        <v/>
      </c>
      <c r="AA79" s="32" t="str">
        <f aca="false">'AVALIAÇÃO MAPA'!AP79</f>
        <v/>
      </c>
      <c r="AB79" s="32" t="n">
        <f aca="false">IF(Z79="Fazer primeiro",Y79,-1)</f>
        <v>-1</v>
      </c>
      <c r="AC79" s="32" t="n">
        <f aca="false">IF(Z79="Projeto estratégico",Y79,-1)</f>
        <v>-1</v>
      </c>
      <c r="AD79" s="32" t="n">
        <f aca="false">IF(Z79="Quick win",Y79,-1)</f>
        <v>-1</v>
      </c>
      <c r="AE79" s="32" t="n">
        <f aca="false">IF(Z79="Evitar",Y79,-1)</f>
        <v>-1</v>
      </c>
      <c r="AF79" s="32" t="n">
        <f aca="false">IF(AA79="SIM",Y79,-1)</f>
        <v>-1</v>
      </c>
    </row>
    <row r="80" customFormat="false" ht="15" hidden="false" customHeight="false" outlineLevel="0" collapsed="false">
      <c r="A80" s="15" t="str">
        <f aca="false">IF(COUNT('AVALIAÇÃO MAPA'!$AU$6:$AU$105)&gt;=75,75,"")</f>
        <v/>
      </c>
      <c r="B80" s="15" t="str">
        <f aca="false">IF($A80="","",INDEX('AVALIAÇÃO MAPA'!$A$6:$A$105,MATCH($A80,'AVALIAÇÃO MAPA'!$AU$6:$AU$105,0)))</f>
        <v/>
      </c>
      <c r="C80" s="18" t="str">
        <f aca="false">IF($A80="","",INDEX('AVALIAÇÃO MAPA'!$B$6:$B$105,MATCH($A80,'AVALIAÇÃO MAPA'!$AU$6:$AU$105,0)))</f>
        <v/>
      </c>
      <c r="D80" s="15" t="str">
        <f aca="false">IF($A80="","",INDEX('AVALIAÇÃO MAPA'!$C$6:$C$105,MATCH($A80,'AVALIAÇÃO MAPA'!$AU$6:$AU$105,0)))</f>
        <v/>
      </c>
      <c r="E80" s="35" t="str">
        <f aca="false">IF($A80="","",INDEX('AVALIAÇÃO MAPA'!$AN$6:$AN$105,MATCH($A80,'AVALIAÇÃO MAPA'!$AU$6:$AU$105,0)))</f>
        <v/>
      </c>
      <c r="F80" s="29" t="str">
        <f aca="false">IF($A80="","",INDEX('AVALIAÇÃO MAPA'!$AJ$6:$AJ$105,MATCH($A80,'AVALIAÇÃO MAPA'!$AU$6:$AU$105,0)))</f>
        <v/>
      </c>
      <c r="G80" s="29" t="str">
        <f aca="false">IF($A80="","",INDEX('AVALIAÇÃO MAPA'!$AM$6:$AM$105,MATCH($A80,'AVALIAÇÃO MAPA'!$AU$6:$AU$105,0)))</f>
        <v/>
      </c>
      <c r="H80" s="15" t="str">
        <f aca="false">IF($A80="","",INDEX('AVALIAÇÃO MAPA'!$AS$6:$AS$105,MATCH($A80,'AVALIAÇÃO MAPA'!$AU$6:$AU$105,0)))</f>
        <v/>
      </c>
      <c r="I80" s="15" t="str">
        <f aca="false">IF($A80="","",INDEX('AVALIAÇÃO MAPA'!$AP$6:$AP$105,MATCH($A80,'AVALIAÇÃO MAPA'!$AU$6:$AU$105,0)))</f>
        <v/>
      </c>
      <c r="J80" s="15" t="str">
        <f aca="false">IF($A80="","",INDEX('AVALIAÇÃO MAPA'!$AQ$6:$AQ$105,MATCH($A80,'AVALIAÇÃO MAPA'!$AU$6:$AU$105,0)))</f>
        <v/>
      </c>
      <c r="K80" s="15" t="str">
        <f aca="false">IF($A80="","",INDEX('AVALIAÇÃO MAPA'!$AR$6:$AR$105,MATCH($A80,'AVALIAÇÃO MAPA'!$AU$6:$AU$105,0)))</f>
        <v/>
      </c>
      <c r="L80" s="15" t="str">
        <f aca="false">IF($A80="","",INDEX('AVALIAÇÃO MAPA'!$AT$6:$AT$105,MATCH($A80,'AVALIAÇÃO MAPA'!$AU$6:$AU$105,0)))</f>
        <v/>
      </c>
      <c r="M80" s="15" t="str">
        <f aca="false">IF($A80="","",INDEX('AVALIAÇÃO MAPA'!$AW$6:$AW$105,MATCH($A80,'AVALIAÇÃO MAPA'!$AU$6:$AU$105,0)))</f>
        <v/>
      </c>
      <c r="N80" s="27" t="str">
        <f aca="false">IF($A80="","",INDEX('AVALIAÇÃO MAPA'!$BB$6:$BB$105,MATCH($A80,'AVALIAÇÃO MAPA'!$AU$6:$AU$105,0)))</f>
        <v/>
      </c>
      <c r="W80" s="32" t="n">
        <v>75</v>
      </c>
      <c r="X80" s="32" t="n">
        <f aca="false">IF(AND('AVALIAÇÃO MAPA'!AN80&lt;&gt;"",'AVALIAÇÃO MAPA'!D80=1),'AVALIAÇÃO MAPA'!AM80,-1)</f>
        <v>-1</v>
      </c>
      <c r="Y80" s="32" t="n">
        <f aca="false">IF(AND('AVALIAÇÃO MAPA'!AN80&lt;&gt;"",'AVALIAÇÃO MAPA'!D80=1),'AVALIAÇÃO MAPA'!AJ80,-1)</f>
        <v>-1</v>
      </c>
      <c r="Z80" s="32" t="str">
        <f aca="false">'AVALIAÇÃO MAPA'!AS80</f>
        <v/>
      </c>
      <c r="AA80" s="32" t="str">
        <f aca="false">'AVALIAÇÃO MAPA'!AP80</f>
        <v/>
      </c>
      <c r="AB80" s="32" t="n">
        <f aca="false">IF(Z80="Fazer primeiro",Y80,-1)</f>
        <v>-1</v>
      </c>
      <c r="AC80" s="32" t="n">
        <f aca="false">IF(Z80="Projeto estratégico",Y80,-1)</f>
        <v>-1</v>
      </c>
      <c r="AD80" s="32" t="n">
        <f aca="false">IF(Z80="Quick win",Y80,-1)</f>
        <v>-1</v>
      </c>
      <c r="AE80" s="32" t="n">
        <f aca="false">IF(Z80="Evitar",Y80,-1)</f>
        <v>-1</v>
      </c>
      <c r="AF80" s="32" t="n">
        <f aca="false">IF(AA80="SIM",Y80,-1)</f>
        <v>-1</v>
      </c>
    </row>
    <row r="81" customFormat="false" ht="15" hidden="false" customHeight="false" outlineLevel="0" collapsed="false">
      <c r="A81" s="15" t="str">
        <f aca="false">IF(COUNT('AVALIAÇÃO MAPA'!$AU$6:$AU$105)&gt;=76,76,"")</f>
        <v/>
      </c>
      <c r="B81" s="15" t="str">
        <f aca="false">IF($A81="","",INDEX('AVALIAÇÃO MAPA'!$A$6:$A$105,MATCH($A81,'AVALIAÇÃO MAPA'!$AU$6:$AU$105,0)))</f>
        <v/>
      </c>
      <c r="C81" s="18" t="str">
        <f aca="false">IF($A81="","",INDEX('AVALIAÇÃO MAPA'!$B$6:$B$105,MATCH($A81,'AVALIAÇÃO MAPA'!$AU$6:$AU$105,0)))</f>
        <v/>
      </c>
      <c r="D81" s="15" t="str">
        <f aca="false">IF($A81="","",INDEX('AVALIAÇÃO MAPA'!$C$6:$C$105,MATCH($A81,'AVALIAÇÃO MAPA'!$AU$6:$AU$105,0)))</f>
        <v/>
      </c>
      <c r="E81" s="35" t="str">
        <f aca="false">IF($A81="","",INDEX('AVALIAÇÃO MAPA'!$AN$6:$AN$105,MATCH($A81,'AVALIAÇÃO MAPA'!$AU$6:$AU$105,0)))</f>
        <v/>
      </c>
      <c r="F81" s="29" t="str">
        <f aca="false">IF($A81="","",INDEX('AVALIAÇÃO MAPA'!$AJ$6:$AJ$105,MATCH($A81,'AVALIAÇÃO MAPA'!$AU$6:$AU$105,0)))</f>
        <v/>
      </c>
      <c r="G81" s="29" t="str">
        <f aca="false">IF($A81="","",INDEX('AVALIAÇÃO MAPA'!$AM$6:$AM$105,MATCH($A81,'AVALIAÇÃO MAPA'!$AU$6:$AU$105,0)))</f>
        <v/>
      </c>
      <c r="H81" s="15" t="str">
        <f aca="false">IF($A81="","",INDEX('AVALIAÇÃO MAPA'!$AS$6:$AS$105,MATCH($A81,'AVALIAÇÃO MAPA'!$AU$6:$AU$105,0)))</f>
        <v/>
      </c>
      <c r="I81" s="15" t="str">
        <f aca="false">IF($A81="","",INDEX('AVALIAÇÃO MAPA'!$AP$6:$AP$105,MATCH($A81,'AVALIAÇÃO MAPA'!$AU$6:$AU$105,0)))</f>
        <v/>
      </c>
      <c r="J81" s="15" t="str">
        <f aca="false">IF($A81="","",INDEX('AVALIAÇÃO MAPA'!$AQ$6:$AQ$105,MATCH($A81,'AVALIAÇÃO MAPA'!$AU$6:$AU$105,0)))</f>
        <v/>
      </c>
      <c r="K81" s="15" t="str">
        <f aca="false">IF($A81="","",INDEX('AVALIAÇÃO MAPA'!$AR$6:$AR$105,MATCH($A81,'AVALIAÇÃO MAPA'!$AU$6:$AU$105,0)))</f>
        <v/>
      </c>
      <c r="L81" s="15" t="str">
        <f aca="false">IF($A81="","",INDEX('AVALIAÇÃO MAPA'!$AT$6:$AT$105,MATCH($A81,'AVALIAÇÃO MAPA'!$AU$6:$AU$105,0)))</f>
        <v/>
      </c>
      <c r="M81" s="15" t="str">
        <f aca="false">IF($A81="","",INDEX('AVALIAÇÃO MAPA'!$AW$6:$AW$105,MATCH($A81,'AVALIAÇÃO MAPA'!$AU$6:$AU$105,0)))</f>
        <v/>
      </c>
      <c r="N81" s="27" t="str">
        <f aca="false">IF($A81="","",INDEX('AVALIAÇÃO MAPA'!$BB$6:$BB$105,MATCH($A81,'AVALIAÇÃO MAPA'!$AU$6:$AU$105,0)))</f>
        <v/>
      </c>
      <c r="W81" s="32" t="n">
        <v>76</v>
      </c>
      <c r="X81" s="32" t="n">
        <f aca="false">IF(AND('AVALIAÇÃO MAPA'!AN81&lt;&gt;"",'AVALIAÇÃO MAPA'!D81=1),'AVALIAÇÃO MAPA'!AM81,-1)</f>
        <v>-1</v>
      </c>
      <c r="Y81" s="32" t="n">
        <f aca="false">IF(AND('AVALIAÇÃO MAPA'!AN81&lt;&gt;"",'AVALIAÇÃO MAPA'!D81=1),'AVALIAÇÃO MAPA'!AJ81,-1)</f>
        <v>-1</v>
      </c>
      <c r="Z81" s="32" t="str">
        <f aca="false">'AVALIAÇÃO MAPA'!AS81</f>
        <v/>
      </c>
      <c r="AA81" s="32" t="str">
        <f aca="false">'AVALIAÇÃO MAPA'!AP81</f>
        <v/>
      </c>
      <c r="AB81" s="32" t="n">
        <f aca="false">IF(Z81="Fazer primeiro",Y81,-1)</f>
        <v>-1</v>
      </c>
      <c r="AC81" s="32" t="n">
        <f aca="false">IF(Z81="Projeto estratégico",Y81,-1)</f>
        <v>-1</v>
      </c>
      <c r="AD81" s="32" t="n">
        <f aca="false">IF(Z81="Quick win",Y81,-1)</f>
        <v>-1</v>
      </c>
      <c r="AE81" s="32" t="n">
        <f aca="false">IF(Z81="Evitar",Y81,-1)</f>
        <v>-1</v>
      </c>
      <c r="AF81" s="32" t="n">
        <f aca="false">IF(AA81="SIM",Y81,-1)</f>
        <v>-1</v>
      </c>
    </row>
    <row r="82" customFormat="false" ht="15" hidden="false" customHeight="false" outlineLevel="0" collapsed="false">
      <c r="A82" s="15" t="str">
        <f aca="false">IF(COUNT('AVALIAÇÃO MAPA'!$AU$6:$AU$105)&gt;=77,77,"")</f>
        <v/>
      </c>
      <c r="B82" s="15" t="str">
        <f aca="false">IF($A82="","",INDEX('AVALIAÇÃO MAPA'!$A$6:$A$105,MATCH($A82,'AVALIAÇÃO MAPA'!$AU$6:$AU$105,0)))</f>
        <v/>
      </c>
      <c r="C82" s="18" t="str">
        <f aca="false">IF($A82="","",INDEX('AVALIAÇÃO MAPA'!$B$6:$B$105,MATCH($A82,'AVALIAÇÃO MAPA'!$AU$6:$AU$105,0)))</f>
        <v/>
      </c>
      <c r="D82" s="15" t="str">
        <f aca="false">IF($A82="","",INDEX('AVALIAÇÃO MAPA'!$C$6:$C$105,MATCH($A82,'AVALIAÇÃO MAPA'!$AU$6:$AU$105,0)))</f>
        <v/>
      </c>
      <c r="E82" s="35" t="str">
        <f aca="false">IF($A82="","",INDEX('AVALIAÇÃO MAPA'!$AN$6:$AN$105,MATCH($A82,'AVALIAÇÃO MAPA'!$AU$6:$AU$105,0)))</f>
        <v/>
      </c>
      <c r="F82" s="29" t="str">
        <f aca="false">IF($A82="","",INDEX('AVALIAÇÃO MAPA'!$AJ$6:$AJ$105,MATCH($A82,'AVALIAÇÃO MAPA'!$AU$6:$AU$105,0)))</f>
        <v/>
      </c>
      <c r="G82" s="29" t="str">
        <f aca="false">IF($A82="","",INDEX('AVALIAÇÃO MAPA'!$AM$6:$AM$105,MATCH($A82,'AVALIAÇÃO MAPA'!$AU$6:$AU$105,0)))</f>
        <v/>
      </c>
      <c r="H82" s="15" t="str">
        <f aca="false">IF($A82="","",INDEX('AVALIAÇÃO MAPA'!$AS$6:$AS$105,MATCH($A82,'AVALIAÇÃO MAPA'!$AU$6:$AU$105,0)))</f>
        <v/>
      </c>
      <c r="I82" s="15" t="str">
        <f aca="false">IF($A82="","",INDEX('AVALIAÇÃO MAPA'!$AP$6:$AP$105,MATCH($A82,'AVALIAÇÃO MAPA'!$AU$6:$AU$105,0)))</f>
        <v/>
      </c>
      <c r="J82" s="15" t="str">
        <f aca="false">IF($A82="","",INDEX('AVALIAÇÃO MAPA'!$AQ$6:$AQ$105,MATCH($A82,'AVALIAÇÃO MAPA'!$AU$6:$AU$105,0)))</f>
        <v/>
      </c>
      <c r="K82" s="15" t="str">
        <f aca="false">IF($A82="","",INDEX('AVALIAÇÃO MAPA'!$AR$6:$AR$105,MATCH($A82,'AVALIAÇÃO MAPA'!$AU$6:$AU$105,0)))</f>
        <v/>
      </c>
      <c r="L82" s="15" t="str">
        <f aca="false">IF($A82="","",INDEX('AVALIAÇÃO MAPA'!$AT$6:$AT$105,MATCH($A82,'AVALIAÇÃO MAPA'!$AU$6:$AU$105,0)))</f>
        <v/>
      </c>
      <c r="M82" s="15" t="str">
        <f aca="false">IF($A82="","",INDEX('AVALIAÇÃO MAPA'!$AW$6:$AW$105,MATCH($A82,'AVALIAÇÃO MAPA'!$AU$6:$AU$105,0)))</f>
        <v/>
      </c>
      <c r="N82" s="27" t="str">
        <f aca="false">IF($A82="","",INDEX('AVALIAÇÃO MAPA'!$BB$6:$BB$105,MATCH($A82,'AVALIAÇÃO MAPA'!$AU$6:$AU$105,0)))</f>
        <v/>
      </c>
      <c r="W82" s="32" t="n">
        <v>77</v>
      </c>
      <c r="X82" s="32" t="n">
        <f aca="false">IF(AND('AVALIAÇÃO MAPA'!AN82&lt;&gt;"",'AVALIAÇÃO MAPA'!D82=1),'AVALIAÇÃO MAPA'!AM82,-1)</f>
        <v>-1</v>
      </c>
      <c r="Y82" s="32" t="n">
        <f aca="false">IF(AND('AVALIAÇÃO MAPA'!AN82&lt;&gt;"",'AVALIAÇÃO MAPA'!D82=1),'AVALIAÇÃO MAPA'!AJ82,-1)</f>
        <v>-1</v>
      </c>
      <c r="Z82" s="32" t="str">
        <f aca="false">'AVALIAÇÃO MAPA'!AS82</f>
        <v/>
      </c>
      <c r="AA82" s="32" t="str">
        <f aca="false">'AVALIAÇÃO MAPA'!AP82</f>
        <v/>
      </c>
      <c r="AB82" s="32" t="n">
        <f aca="false">IF(Z82="Fazer primeiro",Y82,-1)</f>
        <v>-1</v>
      </c>
      <c r="AC82" s="32" t="n">
        <f aca="false">IF(Z82="Projeto estratégico",Y82,-1)</f>
        <v>-1</v>
      </c>
      <c r="AD82" s="32" t="n">
        <f aca="false">IF(Z82="Quick win",Y82,-1)</f>
        <v>-1</v>
      </c>
      <c r="AE82" s="32" t="n">
        <f aca="false">IF(Z82="Evitar",Y82,-1)</f>
        <v>-1</v>
      </c>
      <c r="AF82" s="32" t="n">
        <f aca="false">IF(AA82="SIM",Y82,-1)</f>
        <v>-1</v>
      </c>
    </row>
    <row r="83" customFormat="false" ht="15" hidden="false" customHeight="false" outlineLevel="0" collapsed="false">
      <c r="A83" s="15" t="str">
        <f aca="false">IF(COUNT('AVALIAÇÃO MAPA'!$AU$6:$AU$105)&gt;=78,78,"")</f>
        <v/>
      </c>
      <c r="B83" s="15" t="str">
        <f aca="false">IF($A83="","",INDEX('AVALIAÇÃO MAPA'!$A$6:$A$105,MATCH($A83,'AVALIAÇÃO MAPA'!$AU$6:$AU$105,0)))</f>
        <v/>
      </c>
      <c r="C83" s="18" t="str">
        <f aca="false">IF($A83="","",INDEX('AVALIAÇÃO MAPA'!$B$6:$B$105,MATCH($A83,'AVALIAÇÃO MAPA'!$AU$6:$AU$105,0)))</f>
        <v/>
      </c>
      <c r="D83" s="15" t="str">
        <f aca="false">IF($A83="","",INDEX('AVALIAÇÃO MAPA'!$C$6:$C$105,MATCH($A83,'AVALIAÇÃO MAPA'!$AU$6:$AU$105,0)))</f>
        <v/>
      </c>
      <c r="E83" s="35" t="str">
        <f aca="false">IF($A83="","",INDEX('AVALIAÇÃO MAPA'!$AN$6:$AN$105,MATCH($A83,'AVALIAÇÃO MAPA'!$AU$6:$AU$105,0)))</f>
        <v/>
      </c>
      <c r="F83" s="29" t="str">
        <f aca="false">IF($A83="","",INDEX('AVALIAÇÃO MAPA'!$AJ$6:$AJ$105,MATCH($A83,'AVALIAÇÃO MAPA'!$AU$6:$AU$105,0)))</f>
        <v/>
      </c>
      <c r="G83" s="29" t="str">
        <f aca="false">IF($A83="","",INDEX('AVALIAÇÃO MAPA'!$AM$6:$AM$105,MATCH($A83,'AVALIAÇÃO MAPA'!$AU$6:$AU$105,0)))</f>
        <v/>
      </c>
      <c r="H83" s="15" t="str">
        <f aca="false">IF($A83="","",INDEX('AVALIAÇÃO MAPA'!$AS$6:$AS$105,MATCH($A83,'AVALIAÇÃO MAPA'!$AU$6:$AU$105,0)))</f>
        <v/>
      </c>
      <c r="I83" s="15" t="str">
        <f aca="false">IF($A83="","",INDEX('AVALIAÇÃO MAPA'!$AP$6:$AP$105,MATCH($A83,'AVALIAÇÃO MAPA'!$AU$6:$AU$105,0)))</f>
        <v/>
      </c>
      <c r="J83" s="15" t="str">
        <f aca="false">IF($A83="","",INDEX('AVALIAÇÃO MAPA'!$AQ$6:$AQ$105,MATCH($A83,'AVALIAÇÃO MAPA'!$AU$6:$AU$105,0)))</f>
        <v/>
      </c>
      <c r="K83" s="15" t="str">
        <f aca="false">IF($A83="","",INDEX('AVALIAÇÃO MAPA'!$AR$6:$AR$105,MATCH($A83,'AVALIAÇÃO MAPA'!$AU$6:$AU$105,0)))</f>
        <v/>
      </c>
      <c r="L83" s="15" t="str">
        <f aca="false">IF($A83="","",INDEX('AVALIAÇÃO MAPA'!$AT$6:$AT$105,MATCH($A83,'AVALIAÇÃO MAPA'!$AU$6:$AU$105,0)))</f>
        <v/>
      </c>
      <c r="M83" s="15" t="str">
        <f aca="false">IF($A83="","",INDEX('AVALIAÇÃO MAPA'!$AW$6:$AW$105,MATCH($A83,'AVALIAÇÃO MAPA'!$AU$6:$AU$105,0)))</f>
        <v/>
      </c>
      <c r="N83" s="27" t="str">
        <f aca="false">IF($A83="","",INDEX('AVALIAÇÃO MAPA'!$BB$6:$BB$105,MATCH($A83,'AVALIAÇÃO MAPA'!$AU$6:$AU$105,0)))</f>
        <v/>
      </c>
      <c r="W83" s="32" t="n">
        <v>78</v>
      </c>
      <c r="X83" s="32" t="n">
        <f aca="false">IF(AND('AVALIAÇÃO MAPA'!AN83&lt;&gt;"",'AVALIAÇÃO MAPA'!D83=1),'AVALIAÇÃO MAPA'!AM83,-1)</f>
        <v>-1</v>
      </c>
      <c r="Y83" s="32" t="n">
        <f aca="false">IF(AND('AVALIAÇÃO MAPA'!AN83&lt;&gt;"",'AVALIAÇÃO MAPA'!D83=1),'AVALIAÇÃO MAPA'!AJ83,-1)</f>
        <v>-1</v>
      </c>
      <c r="Z83" s="32" t="str">
        <f aca="false">'AVALIAÇÃO MAPA'!AS83</f>
        <v/>
      </c>
      <c r="AA83" s="32" t="str">
        <f aca="false">'AVALIAÇÃO MAPA'!AP83</f>
        <v/>
      </c>
      <c r="AB83" s="32" t="n">
        <f aca="false">IF(Z83="Fazer primeiro",Y83,-1)</f>
        <v>-1</v>
      </c>
      <c r="AC83" s="32" t="n">
        <f aca="false">IF(Z83="Projeto estratégico",Y83,-1)</f>
        <v>-1</v>
      </c>
      <c r="AD83" s="32" t="n">
        <f aca="false">IF(Z83="Quick win",Y83,-1)</f>
        <v>-1</v>
      </c>
      <c r="AE83" s="32" t="n">
        <f aca="false">IF(Z83="Evitar",Y83,-1)</f>
        <v>-1</v>
      </c>
      <c r="AF83" s="32" t="n">
        <f aca="false">IF(AA83="SIM",Y83,-1)</f>
        <v>-1</v>
      </c>
    </row>
    <row r="84" customFormat="false" ht="15" hidden="false" customHeight="false" outlineLevel="0" collapsed="false">
      <c r="A84" s="15" t="str">
        <f aca="false">IF(COUNT('AVALIAÇÃO MAPA'!$AU$6:$AU$105)&gt;=79,79,"")</f>
        <v/>
      </c>
      <c r="B84" s="15" t="str">
        <f aca="false">IF($A84="","",INDEX('AVALIAÇÃO MAPA'!$A$6:$A$105,MATCH($A84,'AVALIAÇÃO MAPA'!$AU$6:$AU$105,0)))</f>
        <v/>
      </c>
      <c r="C84" s="18" t="str">
        <f aca="false">IF($A84="","",INDEX('AVALIAÇÃO MAPA'!$B$6:$B$105,MATCH($A84,'AVALIAÇÃO MAPA'!$AU$6:$AU$105,0)))</f>
        <v/>
      </c>
      <c r="D84" s="15" t="str">
        <f aca="false">IF($A84="","",INDEX('AVALIAÇÃO MAPA'!$C$6:$C$105,MATCH($A84,'AVALIAÇÃO MAPA'!$AU$6:$AU$105,0)))</f>
        <v/>
      </c>
      <c r="E84" s="35" t="str">
        <f aca="false">IF($A84="","",INDEX('AVALIAÇÃO MAPA'!$AN$6:$AN$105,MATCH($A84,'AVALIAÇÃO MAPA'!$AU$6:$AU$105,0)))</f>
        <v/>
      </c>
      <c r="F84" s="29" t="str">
        <f aca="false">IF($A84="","",INDEX('AVALIAÇÃO MAPA'!$AJ$6:$AJ$105,MATCH($A84,'AVALIAÇÃO MAPA'!$AU$6:$AU$105,0)))</f>
        <v/>
      </c>
      <c r="G84" s="29" t="str">
        <f aca="false">IF($A84="","",INDEX('AVALIAÇÃO MAPA'!$AM$6:$AM$105,MATCH($A84,'AVALIAÇÃO MAPA'!$AU$6:$AU$105,0)))</f>
        <v/>
      </c>
      <c r="H84" s="15" t="str">
        <f aca="false">IF($A84="","",INDEX('AVALIAÇÃO MAPA'!$AS$6:$AS$105,MATCH($A84,'AVALIAÇÃO MAPA'!$AU$6:$AU$105,0)))</f>
        <v/>
      </c>
      <c r="I84" s="15" t="str">
        <f aca="false">IF($A84="","",INDEX('AVALIAÇÃO MAPA'!$AP$6:$AP$105,MATCH($A84,'AVALIAÇÃO MAPA'!$AU$6:$AU$105,0)))</f>
        <v/>
      </c>
      <c r="J84" s="15" t="str">
        <f aca="false">IF($A84="","",INDEX('AVALIAÇÃO MAPA'!$AQ$6:$AQ$105,MATCH($A84,'AVALIAÇÃO MAPA'!$AU$6:$AU$105,0)))</f>
        <v/>
      </c>
      <c r="K84" s="15" t="str">
        <f aca="false">IF($A84="","",INDEX('AVALIAÇÃO MAPA'!$AR$6:$AR$105,MATCH($A84,'AVALIAÇÃO MAPA'!$AU$6:$AU$105,0)))</f>
        <v/>
      </c>
      <c r="L84" s="15" t="str">
        <f aca="false">IF($A84="","",INDEX('AVALIAÇÃO MAPA'!$AT$6:$AT$105,MATCH($A84,'AVALIAÇÃO MAPA'!$AU$6:$AU$105,0)))</f>
        <v/>
      </c>
      <c r="M84" s="15" t="str">
        <f aca="false">IF($A84="","",INDEX('AVALIAÇÃO MAPA'!$AW$6:$AW$105,MATCH($A84,'AVALIAÇÃO MAPA'!$AU$6:$AU$105,0)))</f>
        <v/>
      </c>
      <c r="N84" s="27" t="str">
        <f aca="false">IF($A84="","",INDEX('AVALIAÇÃO MAPA'!$BB$6:$BB$105,MATCH($A84,'AVALIAÇÃO MAPA'!$AU$6:$AU$105,0)))</f>
        <v/>
      </c>
      <c r="W84" s="32" t="n">
        <v>79</v>
      </c>
      <c r="X84" s="32" t="n">
        <f aca="false">IF(AND('AVALIAÇÃO MAPA'!AN84&lt;&gt;"",'AVALIAÇÃO MAPA'!D84=1),'AVALIAÇÃO MAPA'!AM84,-1)</f>
        <v>-1</v>
      </c>
      <c r="Y84" s="32" t="n">
        <f aca="false">IF(AND('AVALIAÇÃO MAPA'!AN84&lt;&gt;"",'AVALIAÇÃO MAPA'!D84=1),'AVALIAÇÃO MAPA'!AJ84,-1)</f>
        <v>-1</v>
      </c>
      <c r="Z84" s="32" t="str">
        <f aca="false">'AVALIAÇÃO MAPA'!AS84</f>
        <v/>
      </c>
      <c r="AA84" s="32" t="str">
        <f aca="false">'AVALIAÇÃO MAPA'!AP84</f>
        <v/>
      </c>
      <c r="AB84" s="32" t="n">
        <f aca="false">IF(Z84="Fazer primeiro",Y84,-1)</f>
        <v>-1</v>
      </c>
      <c r="AC84" s="32" t="n">
        <f aca="false">IF(Z84="Projeto estratégico",Y84,-1)</f>
        <v>-1</v>
      </c>
      <c r="AD84" s="32" t="n">
        <f aca="false">IF(Z84="Quick win",Y84,-1)</f>
        <v>-1</v>
      </c>
      <c r="AE84" s="32" t="n">
        <f aca="false">IF(Z84="Evitar",Y84,-1)</f>
        <v>-1</v>
      </c>
      <c r="AF84" s="32" t="n">
        <f aca="false">IF(AA84="SIM",Y84,-1)</f>
        <v>-1</v>
      </c>
    </row>
    <row r="85" customFormat="false" ht="15" hidden="false" customHeight="false" outlineLevel="0" collapsed="false">
      <c r="A85" s="15" t="str">
        <f aca="false">IF(COUNT('AVALIAÇÃO MAPA'!$AU$6:$AU$105)&gt;=80,80,"")</f>
        <v/>
      </c>
      <c r="B85" s="15" t="str">
        <f aca="false">IF($A85="","",INDEX('AVALIAÇÃO MAPA'!$A$6:$A$105,MATCH($A85,'AVALIAÇÃO MAPA'!$AU$6:$AU$105,0)))</f>
        <v/>
      </c>
      <c r="C85" s="18" t="str">
        <f aca="false">IF($A85="","",INDEX('AVALIAÇÃO MAPA'!$B$6:$B$105,MATCH($A85,'AVALIAÇÃO MAPA'!$AU$6:$AU$105,0)))</f>
        <v/>
      </c>
      <c r="D85" s="15" t="str">
        <f aca="false">IF($A85="","",INDEX('AVALIAÇÃO MAPA'!$C$6:$C$105,MATCH($A85,'AVALIAÇÃO MAPA'!$AU$6:$AU$105,0)))</f>
        <v/>
      </c>
      <c r="E85" s="35" t="str">
        <f aca="false">IF($A85="","",INDEX('AVALIAÇÃO MAPA'!$AN$6:$AN$105,MATCH($A85,'AVALIAÇÃO MAPA'!$AU$6:$AU$105,0)))</f>
        <v/>
      </c>
      <c r="F85" s="29" t="str">
        <f aca="false">IF($A85="","",INDEX('AVALIAÇÃO MAPA'!$AJ$6:$AJ$105,MATCH($A85,'AVALIAÇÃO MAPA'!$AU$6:$AU$105,0)))</f>
        <v/>
      </c>
      <c r="G85" s="29" t="str">
        <f aca="false">IF($A85="","",INDEX('AVALIAÇÃO MAPA'!$AM$6:$AM$105,MATCH($A85,'AVALIAÇÃO MAPA'!$AU$6:$AU$105,0)))</f>
        <v/>
      </c>
      <c r="H85" s="15" t="str">
        <f aca="false">IF($A85="","",INDEX('AVALIAÇÃO MAPA'!$AS$6:$AS$105,MATCH($A85,'AVALIAÇÃO MAPA'!$AU$6:$AU$105,0)))</f>
        <v/>
      </c>
      <c r="I85" s="15" t="str">
        <f aca="false">IF($A85="","",INDEX('AVALIAÇÃO MAPA'!$AP$6:$AP$105,MATCH($A85,'AVALIAÇÃO MAPA'!$AU$6:$AU$105,0)))</f>
        <v/>
      </c>
      <c r="J85" s="15" t="str">
        <f aca="false">IF($A85="","",INDEX('AVALIAÇÃO MAPA'!$AQ$6:$AQ$105,MATCH($A85,'AVALIAÇÃO MAPA'!$AU$6:$AU$105,0)))</f>
        <v/>
      </c>
      <c r="K85" s="15" t="str">
        <f aca="false">IF($A85="","",INDEX('AVALIAÇÃO MAPA'!$AR$6:$AR$105,MATCH($A85,'AVALIAÇÃO MAPA'!$AU$6:$AU$105,0)))</f>
        <v/>
      </c>
      <c r="L85" s="15" t="str">
        <f aca="false">IF($A85="","",INDEX('AVALIAÇÃO MAPA'!$AT$6:$AT$105,MATCH($A85,'AVALIAÇÃO MAPA'!$AU$6:$AU$105,0)))</f>
        <v/>
      </c>
      <c r="M85" s="15" t="str">
        <f aca="false">IF($A85="","",INDEX('AVALIAÇÃO MAPA'!$AW$6:$AW$105,MATCH($A85,'AVALIAÇÃO MAPA'!$AU$6:$AU$105,0)))</f>
        <v/>
      </c>
      <c r="N85" s="27" t="str">
        <f aca="false">IF($A85="","",INDEX('AVALIAÇÃO MAPA'!$BB$6:$BB$105,MATCH($A85,'AVALIAÇÃO MAPA'!$AU$6:$AU$105,0)))</f>
        <v/>
      </c>
      <c r="W85" s="32" t="n">
        <v>80</v>
      </c>
      <c r="X85" s="32" t="n">
        <f aca="false">IF(AND('AVALIAÇÃO MAPA'!AN85&lt;&gt;"",'AVALIAÇÃO MAPA'!D85=1),'AVALIAÇÃO MAPA'!AM85,-1)</f>
        <v>-1</v>
      </c>
      <c r="Y85" s="32" t="n">
        <f aca="false">IF(AND('AVALIAÇÃO MAPA'!AN85&lt;&gt;"",'AVALIAÇÃO MAPA'!D85=1),'AVALIAÇÃO MAPA'!AJ85,-1)</f>
        <v>-1</v>
      </c>
      <c r="Z85" s="32" t="str">
        <f aca="false">'AVALIAÇÃO MAPA'!AS85</f>
        <v/>
      </c>
      <c r="AA85" s="32" t="str">
        <f aca="false">'AVALIAÇÃO MAPA'!AP85</f>
        <v/>
      </c>
      <c r="AB85" s="32" t="n">
        <f aca="false">IF(Z85="Fazer primeiro",Y85,-1)</f>
        <v>-1</v>
      </c>
      <c r="AC85" s="32" t="n">
        <f aca="false">IF(Z85="Projeto estratégico",Y85,-1)</f>
        <v>-1</v>
      </c>
      <c r="AD85" s="32" t="n">
        <f aca="false">IF(Z85="Quick win",Y85,-1)</f>
        <v>-1</v>
      </c>
      <c r="AE85" s="32" t="n">
        <f aca="false">IF(Z85="Evitar",Y85,-1)</f>
        <v>-1</v>
      </c>
      <c r="AF85" s="32" t="n">
        <f aca="false">IF(AA85="SIM",Y85,-1)</f>
        <v>-1</v>
      </c>
    </row>
    <row r="86" customFormat="false" ht="15" hidden="false" customHeight="false" outlineLevel="0" collapsed="false">
      <c r="A86" s="15" t="str">
        <f aca="false">IF(COUNT('AVALIAÇÃO MAPA'!$AU$6:$AU$105)&gt;=81,81,"")</f>
        <v/>
      </c>
      <c r="B86" s="15" t="str">
        <f aca="false">IF($A86="","",INDEX('AVALIAÇÃO MAPA'!$A$6:$A$105,MATCH($A86,'AVALIAÇÃO MAPA'!$AU$6:$AU$105,0)))</f>
        <v/>
      </c>
      <c r="C86" s="18" t="str">
        <f aca="false">IF($A86="","",INDEX('AVALIAÇÃO MAPA'!$B$6:$B$105,MATCH($A86,'AVALIAÇÃO MAPA'!$AU$6:$AU$105,0)))</f>
        <v/>
      </c>
      <c r="D86" s="15" t="str">
        <f aca="false">IF($A86="","",INDEX('AVALIAÇÃO MAPA'!$C$6:$C$105,MATCH($A86,'AVALIAÇÃO MAPA'!$AU$6:$AU$105,0)))</f>
        <v/>
      </c>
      <c r="E86" s="35" t="str">
        <f aca="false">IF($A86="","",INDEX('AVALIAÇÃO MAPA'!$AN$6:$AN$105,MATCH($A86,'AVALIAÇÃO MAPA'!$AU$6:$AU$105,0)))</f>
        <v/>
      </c>
      <c r="F86" s="29" t="str">
        <f aca="false">IF($A86="","",INDEX('AVALIAÇÃO MAPA'!$AJ$6:$AJ$105,MATCH($A86,'AVALIAÇÃO MAPA'!$AU$6:$AU$105,0)))</f>
        <v/>
      </c>
      <c r="G86" s="29" t="str">
        <f aca="false">IF($A86="","",INDEX('AVALIAÇÃO MAPA'!$AM$6:$AM$105,MATCH($A86,'AVALIAÇÃO MAPA'!$AU$6:$AU$105,0)))</f>
        <v/>
      </c>
      <c r="H86" s="15" t="str">
        <f aca="false">IF($A86="","",INDEX('AVALIAÇÃO MAPA'!$AS$6:$AS$105,MATCH($A86,'AVALIAÇÃO MAPA'!$AU$6:$AU$105,0)))</f>
        <v/>
      </c>
      <c r="I86" s="15" t="str">
        <f aca="false">IF($A86="","",INDEX('AVALIAÇÃO MAPA'!$AP$6:$AP$105,MATCH($A86,'AVALIAÇÃO MAPA'!$AU$6:$AU$105,0)))</f>
        <v/>
      </c>
      <c r="J86" s="15" t="str">
        <f aca="false">IF($A86="","",INDEX('AVALIAÇÃO MAPA'!$AQ$6:$AQ$105,MATCH($A86,'AVALIAÇÃO MAPA'!$AU$6:$AU$105,0)))</f>
        <v/>
      </c>
      <c r="K86" s="15" t="str">
        <f aca="false">IF($A86="","",INDEX('AVALIAÇÃO MAPA'!$AR$6:$AR$105,MATCH($A86,'AVALIAÇÃO MAPA'!$AU$6:$AU$105,0)))</f>
        <v/>
      </c>
      <c r="L86" s="15" t="str">
        <f aca="false">IF($A86="","",INDEX('AVALIAÇÃO MAPA'!$AT$6:$AT$105,MATCH($A86,'AVALIAÇÃO MAPA'!$AU$6:$AU$105,0)))</f>
        <v/>
      </c>
      <c r="M86" s="15" t="str">
        <f aca="false">IF($A86="","",INDEX('AVALIAÇÃO MAPA'!$AW$6:$AW$105,MATCH($A86,'AVALIAÇÃO MAPA'!$AU$6:$AU$105,0)))</f>
        <v/>
      </c>
      <c r="N86" s="27" t="str">
        <f aca="false">IF($A86="","",INDEX('AVALIAÇÃO MAPA'!$BB$6:$BB$105,MATCH($A86,'AVALIAÇÃO MAPA'!$AU$6:$AU$105,0)))</f>
        <v/>
      </c>
      <c r="W86" s="32" t="n">
        <v>81</v>
      </c>
      <c r="X86" s="32" t="n">
        <f aca="false">IF(AND('AVALIAÇÃO MAPA'!AN86&lt;&gt;"",'AVALIAÇÃO MAPA'!D86=1),'AVALIAÇÃO MAPA'!AM86,-1)</f>
        <v>-1</v>
      </c>
      <c r="Y86" s="32" t="n">
        <f aca="false">IF(AND('AVALIAÇÃO MAPA'!AN86&lt;&gt;"",'AVALIAÇÃO MAPA'!D86=1),'AVALIAÇÃO MAPA'!AJ86,-1)</f>
        <v>-1</v>
      </c>
      <c r="Z86" s="32" t="str">
        <f aca="false">'AVALIAÇÃO MAPA'!AS86</f>
        <v/>
      </c>
      <c r="AA86" s="32" t="str">
        <f aca="false">'AVALIAÇÃO MAPA'!AP86</f>
        <v/>
      </c>
      <c r="AB86" s="32" t="n">
        <f aca="false">IF(Z86="Fazer primeiro",Y86,-1)</f>
        <v>-1</v>
      </c>
      <c r="AC86" s="32" t="n">
        <f aca="false">IF(Z86="Projeto estratégico",Y86,-1)</f>
        <v>-1</v>
      </c>
      <c r="AD86" s="32" t="n">
        <f aca="false">IF(Z86="Quick win",Y86,-1)</f>
        <v>-1</v>
      </c>
      <c r="AE86" s="32" t="n">
        <f aca="false">IF(Z86="Evitar",Y86,-1)</f>
        <v>-1</v>
      </c>
      <c r="AF86" s="32" t="n">
        <f aca="false">IF(AA86="SIM",Y86,-1)</f>
        <v>-1</v>
      </c>
    </row>
    <row r="87" customFormat="false" ht="15" hidden="false" customHeight="false" outlineLevel="0" collapsed="false">
      <c r="A87" s="15" t="str">
        <f aca="false">IF(COUNT('AVALIAÇÃO MAPA'!$AU$6:$AU$105)&gt;=82,82,"")</f>
        <v/>
      </c>
      <c r="B87" s="15" t="str">
        <f aca="false">IF($A87="","",INDEX('AVALIAÇÃO MAPA'!$A$6:$A$105,MATCH($A87,'AVALIAÇÃO MAPA'!$AU$6:$AU$105,0)))</f>
        <v/>
      </c>
      <c r="C87" s="18" t="str">
        <f aca="false">IF($A87="","",INDEX('AVALIAÇÃO MAPA'!$B$6:$B$105,MATCH($A87,'AVALIAÇÃO MAPA'!$AU$6:$AU$105,0)))</f>
        <v/>
      </c>
      <c r="D87" s="15" t="str">
        <f aca="false">IF($A87="","",INDEX('AVALIAÇÃO MAPA'!$C$6:$C$105,MATCH($A87,'AVALIAÇÃO MAPA'!$AU$6:$AU$105,0)))</f>
        <v/>
      </c>
      <c r="E87" s="35" t="str">
        <f aca="false">IF($A87="","",INDEX('AVALIAÇÃO MAPA'!$AN$6:$AN$105,MATCH($A87,'AVALIAÇÃO MAPA'!$AU$6:$AU$105,0)))</f>
        <v/>
      </c>
      <c r="F87" s="29" t="str">
        <f aca="false">IF($A87="","",INDEX('AVALIAÇÃO MAPA'!$AJ$6:$AJ$105,MATCH($A87,'AVALIAÇÃO MAPA'!$AU$6:$AU$105,0)))</f>
        <v/>
      </c>
      <c r="G87" s="29" t="str">
        <f aca="false">IF($A87="","",INDEX('AVALIAÇÃO MAPA'!$AM$6:$AM$105,MATCH($A87,'AVALIAÇÃO MAPA'!$AU$6:$AU$105,0)))</f>
        <v/>
      </c>
      <c r="H87" s="15" t="str">
        <f aca="false">IF($A87="","",INDEX('AVALIAÇÃO MAPA'!$AS$6:$AS$105,MATCH($A87,'AVALIAÇÃO MAPA'!$AU$6:$AU$105,0)))</f>
        <v/>
      </c>
      <c r="I87" s="15" t="str">
        <f aca="false">IF($A87="","",INDEX('AVALIAÇÃO MAPA'!$AP$6:$AP$105,MATCH($A87,'AVALIAÇÃO MAPA'!$AU$6:$AU$105,0)))</f>
        <v/>
      </c>
      <c r="J87" s="15" t="str">
        <f aca="false">IF($A87="","",INDEX('AVALIAÇÃO MAPA'!$AQ$6:$AQ$105,MATCH($A87,'AVALIAÇÃO MAPA'!$AU$6:$AU$105,0)))</f>
        <v/>
      </c>
      <c r="K87" s="15" t="str">
        <f aca="false">IF($A87="","",INDEX('AVALIAÇÃO MAPA'!$AR$6:$AR$105,MATCH($A87,'AVALIAÇÃO MAPA'!$AU$6:$AU$105,0)))</f>
        <v/>
      </c>
      <c r="L87" s="15" t="str">
        <f aca="false">IF($A87="","",INDEX('AVALIAÇÃO MAPA'!$AT$6:$AT$105,MATCH($A87,'AVALIAÇÃO MAPA'!$AU$6:$AU$105,0)))</f>
        <v/>
      </c>
      <c r="M87" s="15" t="str">
        <f aca="false">IF($A87="","",INDEX('AVALIAÇÃO MAPA'!$AW$6:$AW$105,MATCH($A87,'AVALIAÇÃO MAPA'!$AU$6:$AU$105,0)))</f>
        <v/>
      </c>
      <c r="N87" s="27" t="str">
        <f aca="false">IF($A87="","",INDEX('AVALIAÇÃO MAPA'!$BB$6:$BB$105,MATCH($A87,'AVALIAÇÃO MAPA'!$AU$6:$AU$105,0)))</f>
        <v/>
      </c>
      <c r="W87" s="32" t="n">
        <v>82</v>
      </c>
      <c r="X87" s="32" t="n">
        <f aca="false">IF(AND('AVALIAÇÃO MAPA'!AN87&lt;&gt;"",'AVALIAÇÃO MAPA'!D87=1),'AVALIAÇÃO MAPA'!AM87,-1)</f>
        <v>-1</v>
      </c>
      <c r="Y87" s="32" t="n">
        <f aca="false">IF(AND('AVALIAÇÃO MAPA'!AN87&lt;&gt;"",'AVALIAÇÃO MAPA'!D87=1),'AVALIAÇÃO MAPA'!AJ87,-1)</f>
        <v>-1</v>
      </c>
      <c r="Z87" s="32" t="str">
        <f aca="false">'AVALIAÇÃO MAPA'!AS87</f>
        <v/>
      </c>
      <c r="AA87" s="32" t="str">
        <f aca="false">'AVALIAÇÃO MAPA'!AP87</f>
        <v/>
      </c>
      <c r="AB87" s="32" t="n">
        <f aca="false">IF(Z87="Fazer primeiro",Y87,-1)</f>
        <v>-1</v>
      </c>
      <c r="AC87" s="32" t="n">
        <f aca="false">IF(Z87="Projeto estratégico",Y87,-1)</f>
        <v>-1</v>
      </c>
      <c r="AD87" s="32" t="n">
        <f aca="false">IF(Z87="Quick win",Y87,-1)</f>
        <v>-1</v>
      </c>
      <c r="AE87" s="32" t="n">
        <f aca="false">IF(Z87="Evitar",Y87,-1)</f>
        <v>-1</v>
      </c>
      <c r="AF87" s="32" t="n">
        <f aca="false">IF(AA87="SIM",Y87,-1)</f>
        <v>-1</v>
      </c>
    </row>
    <row r="88" customFormat="false" ht="15" hidden="false" customHeight="false" outlineLevel="0" collapsed="false">
      <c r="A88" s="15" t="str">
        <f aca="false">IF(COUNT('AVALIAÇÃO MAPA'!$AU$6:$AU$105)&gt;=83,83,"")</f>
        <v/>
      </c>
      <c r="B88" s="15" t="str">
        <f aca="false">IF($A88="","",INDEX('AVALIAÇÃO MAPA'!$A$6:$A$105,MATCH($A88,'AVALIAÇÃO MAPA'!$AU$6:$AU$105,0)))</f>
        <v/>
      </c>
      <c r="C88" s="18" t="str">
        <f aca="false">IF($A88="","",INDEX('AVALIAÇÃO MAPA'!$B$6:$B$105,MATCH($A88,'AVALIAÇÃO MAPA'!$AU$6:$AU$105,0)))</f>
        <v/>
      </c>
      <c r="D88" s="15" t="str">
        <f aca="false">IF($A88="","",INDEX('AVALIAÇÃO MAPA'!$C$6:$C$105,MATCH($A88,'AVALIAÇÃO MAPA'!$AU$6:$AU$105,0)))</f>
        <v/>
      </c>
      <c r="E88" s="35" t="str">
        <f aca="false">IF($A88="","",INDEX('AVALIAÇÃO MAPA'!$AN$6:$AN$105,MATCH($A88,'AVALIAÇÃO MAPA'!$AU$6:$AU$105,0)))</f>
        <v/>
      </c>
      <c r="F88" s="29" t="str">
        <f aca="false">IF($A88="","",INDEX('AVALIAÇÃO MAPA'!$AJ$6:$AJ$105,MATCH($A88,'AVALIAÇÃO MAPA'!$AU$6:$AU$105,0)))</f>
        <v/>
      </c>
      <c r="G88" s="29" t="str">
        <f aca="false">IF($A88="","",INDEX('AVALIAÇÃO MAPA'!$AM$6:$AM$105,MATCH($A88,'AVALIAÇÃO MAPA'!$AU$6:$AU$105,0)))</f>
        <v/>
      </c>
      <c r="H88" s="15" t="str">
        <f aca="false">IF($A88="","",INDEX('AVALIAÇÃO MAPA'!$AS$6:$AS$105,MATCH($A88,'AVALIAÇÃO MAPA'!$AU$6:$AU$105,0)))</f>
        <v/>
      </c>
      <c r="I88" s="15" t="str">
        <f aca="false">IF($A88="","",INDEX('AVALIAÇÃO MAPA'!$AP$6:$AP$105,MATCH($A88,'AVALIAÇÃO MAPA'!$AU$6:$AU$105,0)))</f>
        <v/>
      </c>
      <c r="J88" s="15" t="str">
        <f aca="false">IF($A88="","",INDEX('AVALIAÇÃO MAPA'!$AQ$6:$AQ$105,MATCH($A88,'AVALIAÇÃO MAPA'!$AU$6:$AU$105,0)))</f>
        <v/>
      </c>
      <c r="K88" s="15" t="str">
        <f aca="false">IF($A88="","",INDEX('AVALIAÇÃO MAPA'!$AR$6:$AR$105,MATCH($A88,'AVALIAÇÃO MAPA'!$AU$6:$AU$105,0)))</f>
        <v/>
      </c>
      <c r="L88" s="15" t="str">
        <f aca="false">IF($A88="","",INDEX('AVALIAÇÃO MAPA'!$AT$6:$AT$105,MATCH($A88,'AVALIAÇÃO MAPA'!$AU$6:$AU$105,0)))</f>
        <v/>
      </c>
      <c r="M88" s="15" t="str">
        <f aca="false">IF($A88="","",INDEX('AVALIAÇÃO MAPA'!$AW$6:$AW$105,MATCH($A88,'AVALIAÇÃO MAPA'!$AU$6:$AU$105,0)))</f>
        <v/>
      </c>
      <c r="N88" s="27" t="str">
        <f aca="false">IF($A88="","",INDEX('AVALIAÇÃO MAPA'!$BB$6:$BB$105,MATCH($A88,'AVALIAÇÃO MAPA'!$AU$6:$AU$105,0)))</f>
        <v/>
      </c>
      <c r="W88" s="32" t="n">
        <v>83</v>
      </c>
      <c r="X88" s="32" t="n">
        <f aca="false">IF(AND('AVALIAÇÃO MAPA'!AN88&lt;&gt;"",'AVALIAÇÃO MAPA'!D88=1),'AVALIAÇÃO MAPA'!AM88,-1)</f>
        <v>-1</v>
      </c>
      <c r="Y88" s="32" t="n">
        <f aca="false">IF(AND('AVALIAÇÃO MAPA'!AN88&lt;&gt;"",'AVALIAÇÃO MAPA'!D88=1),'AVALIAÇÃO MAPA'!AJ88,-1)</f>
        <v>-1</v>
      </c>
      <c r="Z88" s="32" t="str">
        <f aca="false">'AVALIAÇÃO MAPA'!AS88</f>
        <v/>
      </c>
      <c r="AA88" s="32" t="str">
        <f aca="false">'AVALIAÇÃO MAPA'!AP88</f>
        <v/>
      </c>
      <c r="AB88" s="32" t="n">
        <f aca="false">IF(Z88="Fazer primeiro",Y88,-1)</f>
        <v>-1</v>
      </c>
      <c r="AC88" s="32" t="n">
        <f aca="false">IF(Z88="Projeto estratégico",Y88,-1)</f>
        <v>-1</v>
      </c>
      <c r="AD88" s="32" t="n">
        <f aca="false">IF(Z88="Quick win",Y88,-1)</f>
        <v>-1</v>
      </c>
      <c r="AE88" s="32" t="n">
        <f aca="false">IF(Z88="Evitar",Y88,-1)</f>
        <v>-1</v>
      </c>
      <c r="AF88" s="32" t="n">
        <f aca="false">IF(AA88="SIM",Y88,-1)</f>
        <v>-1</v>
      </c>
    </row>
    <row r="89" customFormat="false" ht="15" hidden="false" customHeight="false" outlineLevel="0" collapsed="false">
      <c r="A89" s="15" t="str">
        <f aca="false">IF(COUNT('AVALIAÇÃO MAPA'!$AU$6:$AU$105)&gt;=84,84,"")</f>
        <v/>
      </c>
      <c r="B89" s="15" t="str">
        <f aca="false">IF($A89="","",INDEX('AVALIAÇÃO MAPA'!$A$6:$A$105,MATCH($A89,'AVALIAÇÃO MAPA'!$AU$6:$AU$105,0)))</f>
        <v/>
      </c>
      <c r="C89" s="18" t="str">
        <f aca="false">IF($A89="","",INDEX('AVALIAÇÃO MAPA'!$B$6:$B$105,MATCH($A89,'AVALIAÇÃO MAPA'!$AU$6:$AU$105,0)))</f>
        <v/>
      </c>
      <c r="D89" s="15" t="str">
        <f aca="false">IF($A89="","",INDEX('AVALIAÇÃO MAPA'!$C$6:$C$105,MATCH($A89,'AVALIAÇÃO MAPA'!$AU$6:$AU$105,0)))</f>
        <v/>
      </c>
      <c r="E89" s="35" t="str">
        <f aca="false">IF($A89="","",INDEX('AVALIAÇÃO MAPA'!$AN$6:$AN$105,MATCH($A89,'AVALIAÇÃO MAPA'!$AU$6:$AU$105,0)))</f>
        <v/>
      </c>
      <c r="F89" s="29" t="str">
        <f aca="false">IF($A89="","",INDEX('AVALIAÇÃO MAPA'!$AJ$6:$AJ$105,MATCH($A89,'AVALIAÇÃO MAPA'!$AU$6:$AU$105,0)))</f>
        <v/>
      </c>
      <c r="G89" s="29" t="str">
        <f aca="false">IF($A89="","",INDEX('AVALIAÇÃO MAPA'!$AM$6:$AM$105,MATCH($A89,'AVALIAÇÃO MAPA'!$AU$6:$AU$105,0)))</f>
        <v/>
      </c>
      <c r="H89" s="15" t="str">
        <f aca="false">IF($A89="","",INDEX('AVALIAÇÃO MAPA'!$AS$6:$AS$105,MATCH($A89,'AVALIAÇÃO MAPA'!$AU$6:$AU$105,0)))</f>
        <v/>
      </c>
      <c r="I89" s="15" t="str">
        <f aca="false">IF($A89="","",INDEX('AVALIAÇÃO MAPA'!$AP$6:$AP$105,MATCH($A89,'AVALIAÇÃO MAPA'!$AU$6:$AU$105,0)))</f>
        <v/>
      </c>
      <c r="J89" s="15" t="str">
        <f aca="false">IF($A89="","",INDEX('AVALIAÇÃO MAPA'!$AQ$6:$AQ$105,MATCH($A89,'AVALIAÇÃO MAPA'!$AU$6:$AU$105,0)))</f>
        <v/>
      </c>
      <c r="K89" s="15" t="str">
        <f aca="false">IF($A89="","",INDEX('AVALIAÇÃO MAPA'!$AR$6:$AR$105,MATCH($A89,'AVALIAÇÃO MAPA'!$AU$6:$AU$105,0)))</f>
        <v/>
      </c>
      <c r="L89" s="15" t="str">
        <f aca="false">IF($A89="","",INDEX('AVALIAÇÃO MAPA'!$AT$6:$AT$105,MATCH($A89,'AVALIAÇÃO MAPA'!$AU$6:$AU$105,0)))</f>
        <v/>
      </c>
      <c r="M89" s="15" t="str">
        <f aca="false">IF($A89="","",INDEX('AVALIAÇÃO MAPA'!$AW$6:$AW$105,MATCH($A89,'AVALIAÇÃO MAPA'!$AU$6:$AU$105,0)))</f>
        <v/>
      </c>
      <c r="N89" s="27" t="str">
        <f aca="false">IF($A89="","",INDEX('AVALIAÇÃO MAPA'!$BB$6:$BB$105,MATCH($A89,'AVALIAÇÃO MAPA'!$AU$6:$AU$105,0)))</f>
        <v/>
      </c>
      <c r="W89" s="32" t="n">
        <v>84</v>
      </c>
      <c r="X89" s="32" t="n">
        <f aca="false">IF(AND('AVALIAÇÃO MAPA'!AN89&lt;&gt;"",'AVALIAÇÃO MAPA'!D89=1),'AVALIAÇÃO MAPA'!AM89,-1)</f>
        <v>-1</v>
      </c>
      <c r="Y89" s="32" t="n">
        <f aca="false">IF(AND('AVALIAÇÃO MAPA'!AN89&lt;&gt;"",'AVALIAÇÃO MAPA'!D89=1),'AVALIAÇÃO MAPA'!AJ89,-1)</f>
        <v>-1</v>
      </c>
      <c r="Z89" s="32" t="str">
        <f aca="false">'AVALIAÇÃO MAPA'!AS89</f>
        <v/>
      </c>
      <c r="AA89" s="32" t="str">
        <f aca="false">'AVALIAÇÃO MAPA'!AP89</f>
        <v/>
      </c>
      <c r="AB89" s="32" t="n">
        <f aca="false">IF(Z89="Fazer primeiro",Y89,-1)</f>
        <v>-1</v>
      </c>
      <c r="AC89" s="32" t="n">
        <f aca="false">IF(Z89="Projeto estratégico",Y89,-1)</f>
        <v>-1</v>
      </c>
      <c r="AD89" s="32" t="n">
        <f aca="false">IF(Z89="Quick win",Y89,-1)</f>
        <v>-1</v>
      </c>
      <c r="AE89" s="32" t="n">
        <f aca="false">IF(Z89="Evitar",Y89,-1)</f>
        <v>-1</v>
      </c>
      <c r="AF89" s="32" t="n">
        <f aca="false">IF(AA89="SIM",Y89,-1)</f>
        <v>-1</v>
      </c>
    </row>
    <row r="90" customFormat="false" ht="15" hidden="false" customHeight="false" outlineLevel="0" collapsed="false">
      <c r="A90" s="15" t="str">
        <f aca="false">IF(COUNT('AVALIAÇÃO MAPA'!$AU$6:$AU$105)&gt;=85,85,"")</f>
        <v/>
      </c>
      <c r="B90" s="15" t="str">
        <f aca="false">IF($A90="","",INDEX('AVALIAÇÃO MAPA'!$A$6:$A$105,MATCH($A90,'AVALIAÇÃO MAPA'!$AU$6:$AU$105,0)))</f>
        <v/>
      </c>
      <c r="C90" s="18" t="str">
        <f aca="false">IF($A90="","",INDEX('AVALIAÇÃO MAPA'!$B$6:$B$105,MATCH($A90,'AVALIAÇÃO MAPA'!$AU$6:$AU$105,0)))</f>
        <v/>
      </c>
      <c r="D90" s="15" t="str">
        <f aca="false">IF($A90="","",INDEX('AVALIAÇÃO MAPA'!$C$6:$C$105,MATCH($A90,'AVALIAÇÃO MAPA'!$AU$6:$AU$105,0)))</f>
        <v/>
      </c>
      <c r="E90" s="35" t="str">
        <f aca="false">IF($A90="","",INDEX('AVALIAÇÃO MAPA'!$AN$6:$AN$105,MATCH($A90,'AVALIAÇÃO MAPA'!$AU$6:$AU$105,0)))</f>
        <v/>
      </c>
      <c r="F90" s="29" t="str">
        <f aca="false">IF($A90="","",INDEX('AVALIAÇÃO MAPA'!$AJ$6:$AJ$105,MATCH($A90,'AVALIAÇÃO MAPA'!$AU$6:$AU$105,0)))</f>
        <v/>
      </c>
      <c r="G90" s="29" t="str">
        <f aca="false">IF($A90="","",INDEX('AVALIAÇÃO MAPA'!$AM$6:$AM$105,MATCH($A90,'AVALIAÇÃO MAPA'!$AU$6:$AU$105,0)))</f>
        <v/>
      </c>
      <c r="H90" s="15" t="str">
        <f aca="false">IF($A90="","",INDEX('AVALIAÇÃO MAPA'!$AS$6:$AS$105,MATCH($A90,'AVALIAÇÃO MAPA'!$AU$6:$AU$105,0)))</f>
        <v/>
      </c>
      <c r="I90" s="15" t="str">
        <f aca="false">IF($A90="","",INDEX('AVALIAÇÃO MAPA'!$AP$6:$AP$105,MATCH($A90,'AVALIAÇÃO MAPA'!$AU$6:$AU$105,0)))</f>
        <v/>
      </c>
      <c r="J90" s="15" t="str">
        <f aca="false">IF($A90="","",INDEX('AVALIAÇÃO MAPA'!$AQ$6:$AQ$105,MATCH($A90,'AVALIAÇÃO MAPA'!$AU$6:$AU$105,0)))</f>
        <v/>
      </c>
      <c r="K90" s="15" t="str">
        <f aca="false">IF($A90="","",INDEX('AVALIAÇÃO MAPA'!$AR$6:$AR$105,MATCH($A90,'AVALIAÇÃO MAPA'!$AU$6:$AU$105,0)))</f>
        <v/>
      </c>
      <c r="L90" s="15" t="str">
        <f aca="false">IF($A90="","",INDEX('AVALIAÇÃO MAPA'!$AT$6:$AT$105,MATCH($A90,'AVALIAÇÃO MAPA'!$AU$6:$AU$105,0)))</f>
        <v/>
      </c>
      <c r="M90" s="15" t="str">
        <f aca="false">IF($A90="","",INDEX('AVALIAÇÃO MAPA'!$AW$6:$AW$105,MATCH($A90,'AVALIAÇÃO MAPA'!$AU$6:$AU$105,0)))</f>
        <v/>
      </c>
      <c r="N90" s="27" t="str">
        <f aca="false">IF($A90="","",INDEX('AVALIAÇÃO MAPA'!$BB$6:$BB$105,MATCH($A90,'AVALIAÇÃO MAPA'!$AU$6:$AU$105,0)))</f>
        <v/>
      </c>
      <c r="W90" s="32" t="n">
        <v>85</v>
      </c>
      <c r="X90" s="32" t="n">
        <f aca="false">IF(AND('AVALIAÇÃO MAPA'!AN90&lt;&gt;"",'AVALIAÇÃO MAPA'!D90=1),'AVALIAÇÃO MAPA'!AM90,-1)</f>
        <v>-1</v>
      </c>
      <c r="Y90" s="32" t="n">
        <f aca="false">IF(AND('AVALIAÇÃO MAPA'!AN90&lt;&gt;"",'AVALIAÇÃO MAPA'!D90=1),'AVALIAÇÃO MAPA'!AJ90,-1)</f>
        <v>-1</v>
      </c>
      <c r="Z90" s="32" t="str">
        <f aca="false">'AVALIAÇÃO MAPA'!AS90</f>
        <v/>
      </c>
      <c r="AA90" s="32" t="str">
        <f aca="false">'AVALIAÇÃO MAPA'!AP90</f>
        <v/>
      </c>
      <c r="AB90" s="32" t="n">
        <f aca="false">IF(Z90="Fazer primeiro",Y90,-1)</f>
        <v>-1</v>
      </c>
      <c r="AC90" s="32" t="n">
        <f aca="false">IF(Z90="Projeto estratégico",Y90,-1)</f>
        <v>-1</v>
      </c>
      <c r="AD90" s="32" t="n">
        <f aca="false">IF(Z90="Quick win",Y90,-1)</f>
        <v>-1</v>
      </c>
      <c r="AE90" s="32" t="n">
        <f aca="false">IF(Z90="Evitar",Y90,-1)</f>
        <v>-1</v>
      </c>
      <c r="AF90" s="32" t="n">
        <f aca="false">IF(AA90="SIM",Y90,-1)</f>
        <v>-1</v>
      </c>
    </row>
    <row r="91" customFormat="false" ht="15" hidden="false" customHeight="false" outlineLevel="0" collapsed="false">
      <c r="A91" s="15" t="str">
        <f aca="false">IF(COUNT('AVALIAÇÃO MAPA'!$AU$6:$AU$105)&gt;=86,86,"")</f>
        <v/>
      </c>
      <c r="B91" s="15" t="str">
        <f aca="false">IF($A91="","",INDEX('AVALIAÇÃO MAPA'!$A$6:$A$105,MATCH($A91,'AVALIAÇÃO MAPA'!$AU$6:$AU$105,0)))</f>
        <v/>
      </c>
      <c r="C91" s="18" t="str">
        <f aca="false">IF($A91="","",INDEX('AVALIAÇÃO MAPA'!$B$6:$B$105,MATCH($A91,'AVALIAÇÃO MAPA'!$AU$6:$AU$105,0)))</f>
        <v/>
      </c>
      <c r="D91" s="15" t="str">
        <f aca="false">IF($A91="","",INDEX('AVALIAÇÃO MAPA'!$C$6:$C$105,MATCH($A91,'AVALIAÇÃO MAPA'!$AU$6:$AU$105,0)))</f>
        <v/>
      </c>
      <c r="E91" s="35" t="str">
        <f aca="false">IF($A91="","",INDEX('AVALIAÇÃO MAPA'!$AN$6:$AN$105,MATCH($A91,'AVALIAÇÃO MAPA'!$AU$6:$AU$105,0)))</f>
        <v/>
      </c>
      <c r="F91" s="29" t="str">
        <f aca="false">IF($A91="","",INDEX('AVALIAÇÃO MAPA'!$AJ$6:$AJ$105,MATCH($A91,'AVALIAÇÃO MAPA'!$AU$6:$AU$105,0)))</f>
        <v/>
      </c>
      <c r="G91" s="29" t="str">
        <f aca="false">IF($A91="","",INDEX('AVALIAÇÃO MAPA'!$AM$6:$AM$105,MATCH($A91,'AVALIAÇÃO MAPA'!$AU$6:$AU$105,0)))</f>
        <v/>
      </c>
      <c r="H91" s="15" t="str">
        <f aca="false">IF($A91="","",INDEX('AVALIAÇÃO MAPA'!$AS$6:$AS$105,MATCH($A91,'AVALIAÇÃO MAPA'!$AU$6:$AU$105,0)))</f>
        <v/>
      </c>
      <c r="I91" s="15" t="str">
        <f aca="false">IF($A91="","",INDEX('AVALIAÇÃO MAPA'!$AP$6:$AP$105,MATCH($A91,'AVALIAÇÃO MAPA'!$AU$6:$AU$105,0)))</f>
        <v/>
      </c>
      <c r="J91" s="15" t="str">
        <f aca="false">IF($A91="","",INDEX('AVALIAÇÃO MAPA'!$AQ$6:$AQ$105,MATCH($A91,'AVALIAÇÃO MAPA'!$AU$6:$AU$105,0)))</f>
        <v/>
      </c>
      <c r="K91" s="15" t="str">
        <f aca="false">IF($A91="","",INDEX('AVALIAÇÃO MAPA'!$AR$6:$AR$105,MATCH($A91,'AVALIAÇÃO MAPA'!$AU$6:$AU$105,0)))</f>
        <v/>
      </c>
      <c r="L91" s="15" t="str">
        <f aca="false">IF($A91="","",INDEX('AVALIAÇÃO MAPA'!$AT$6:$AT$105,MATCH($A91,'AVALIAÇÃO MAPA'!$AU$6:$AU$105,0)))</f>
        <v/>
      </c>
      <c r="M91" s="15" t="str">
        <f aca="false">IF($A91="","",INDEX('AVALIAÇÃO MAPA'!$AW$6:$AW$105,MATCH($A91,'AVALIAÇÃO MAPA'!$AU$6:$AU$105,0)))</f>
        <v/>
      </c>
      <c r="N91" s="27" t="str">
        <f aca="false">IF($A91="","",INDEX('AVALIAÇÃO MAPA'!$BB$6:$BB$105,MATCH($A91,'AVALIAÇÃO MAPA'!$AU$6:$AU$105,0)))</f>
        <v/>
      </c>
      <c r="W91" s="32" t="n">
        <v>86</v>
      </c>
      <c r="X91" s="32" t="n">
        <f aca="false">IF(AND('AVALIAÇÃO MAPA'!AN91&lt;&gt;"",'AVALIAÇÃO MAPA'!D91=1),'AVALIAÇÃO MAPA'!AM91,-1)</f>
        <v>-1</v>
      </c>
      <c r="Y91" s="32" t="n">
        <f aca="false">IF(AND('AVALIAÇÃO MAPA'!AN91&lt;&gt;"",'AVALIAÇÃO MAPA'!D91=1),'AVALIAÇÃO MAPA'!AJ91,-1)</f>
        <v>-1</v>
      </c>
      <c r="Z91" s="32" t="str">
        <f aca="false">'AVALIAÇÃO MAPA'!AS91</f>
        <v/>
      </c>
      <c r="AA91" s="32" t="str">
        <f aca="false">'AVALIAÇÃO MAPA'!AP91</f>
        <v/>
      </c>
      <c r="AB91" s="32" t="n">
        <f aca="false">IF(Z91="Fazer primeiro",Y91,-1)</f>
        <v>-1</v>
      </c>
      <c r="AC91" s="32" t="n">
        <f aca="false">IF(Z91="Projeto estratégico",Y91,-1)</f>
        <v>-1</v>
      </c>
      <c r="AD91" s="32" t="n">
        <f aca="false">IF(Z91="Quick win",Y91,-1)</f>
        <v>-1</v>
      </c>
      <c r="AE91" s="32" t="n">
        <f aca="false">IF(Z91="Evitar",Y91,-1)</f>
        <v>-1</v>
      </c>
      <c r="AF91" s="32" t="n">
        <f aca="false">IF(AA91="SIM",Y91,-1)</f>
        <v>-1</v>
      </c>
    </row>
    <row r="92" customFormat="false" ht="15" hidden="false" customHeight="false" outlineLevel="0" collapsed="false">
      <c r="A92" s="15" t="str">
        <f aca="false">IF(COUNT('AVALIAÇÃO MAPA'!$AU$6:$AU$105)&gt;=87,87,"")</f>
        <v/>
      </c>
      <c r="B92" s="15" t="str">
        <f aca="false">IF($A92="","",INDEX('AVALIAÇÃO MAPA'!$A$6:$A$105,MATCH($A92,'AVALIAÇÃO MAPA'!$AU$6:$AU$105,0)))</f>
        <v/>
      </c>
      <c r="C92" s="18" t="str">
        <f aca="false">IF($A92="","",INDEX('AVALIAÇÃO MAPA'!$B$6:$B$105,MATCH($A92,'AVALIAÇÃO MAPA'!$AU$6:$AU$105,0)))</f>
        <v/>
      </c>
      <c r="D92" s="15" t="str">
        <f aca="false">IF($A92="","",INDEX('AVALIAÇÃO MAPA'!$C$6:$C$105,MATCH($A92,'AVALIAÇÃO MAPA'!$AU$6:$AU$105,0)))</f>
        <v/>
      </c>
      <c r="E92" s="35" t="str">
        <f aca="false">IF($A92="","",INDEX('AVALIAÇÃO MAPA'!$AN$6:$AN$105,MATCH($A92,'AVALIAÇÃO MAPA'!$AU$6:$AU$105,0)))</f>
        <v/>
      </c>
      <c r="F92" s="29" t="str">
        <f aca="false">IF($A92="","",INDEX('AVALIAÇÃO MAPA'!$AJ$6:$AJ$105,MATCH($A92,'AVALIAÇÃO MAPA'!$AU$6:$AU$105,0)))</f>
        <v/>
      </c>
      <c r="G92" s="29" t="str">
        <f aca="false">IF($A92="","",INDEX('AVALIAÇÃO MAPA'!$AM$6:$AM$105,MATCH($A92,'AVALIAÇÃO MAPA'!$AU$6:$AU$105,0)))</f>
        <v/>
      </c>
      <c r="H92" s="15" t="str">
        <f aca="false">IF($A92="","",INDEX('AVALIAÇÃO MAPA'!$AS$6:$AS$105,MATCH($A92,'AVALIAÇÃO MAPA'!$AU$6:$AU$105,0)))</f>
        <v/>
      </c>
      <c r="I92" s="15" t="str">
        <f aca="false">IF($A92="","",INDEX('AVALIAÇÃO MAPA'!$AP$6:$AP$105,MATCH($A92,'AVALIAÇÃO MAPA'!$AU$6:$AU$105,0)))</f>
        <v/>
      </c>
      <c r="J92" s="15" t="str">
        <f aca="false">IF($A92="","",INDEX('AVALIAÇÃO MAPA'!$AQ$6:$AQ$105,MATCH($A92,'AVALIAÇÃO MAPA'!$AU$6:$AU$105,0)))</f>
        <v/>
      </c>
      <c r="K92" s="15" t="str">
        <f aca="false">IF($A92="","",INDEX('AVALIAÇÃO MAPA'!$AR$6:$AR$105,MATCH($A92,'AVALIAÇÃO MAPA'!$AU$6:$AU$105,0)))</f>
        <v/>
      </c>
      <c r="L92" s="15" t="str">
        <f aca="false">IF($A92="","",INDEX('AVALIAÇÃO MAPA'!$AT$6:$AT$105,MATCH($A92,'AVALIAÇÃO MAPA'!$AU$6:$AU$105,0)))</f>
        <v/>
      </c>
      <c r="M92" s="15" t="str">
        <f aca="false">IF($A92="","",INDEX('AVALIAÇÃO MAPA'!$AW$6:$AW$105,MATCH($A92,'AVALIAÇÃO MAPA'!$AU$6:$AU$105,0)))</f>
        <v/>
      </c>
      <c r="N92" s="27" t="str">
        <f aca="false">IF($A92="","",INDEX('AVALIAÇÃO MAPA'!$BB$6:$BB$105,MATCH($A92,'AVALIAÇÃO MAPA'!$AU$6:$AU$105,0)))</f>
        <v/>
      </c>
      <c r="W92" s="32" t="n">
        <v>87</v>
      </c>
      <c r="X92" s="32" t="n">
        <f aca="false">IF(AND('AVALIAÇÃO MAPA'!AN92&lt;&gt;"",'AVALIAÇÃO MAPA'!D92=1),'AVALIAÇÃO MAPA'!AM92,-1)</f>
        <v>-1</v>
      </c>
      <c r="Y92" s="32" t="n">
        <f aca="false">IF(AND('AVALIAÇÃO MAPA'!AN92&lt;&gt;"",'AVALIAÇÃO MAPA'!D92=1),'AVALIAÇÃO MAPA'!AJ92,-1)</f>
        <v>-1</v>
      </c>
      <c r="Z92" s="32" t="str">
        <f aca="false">'AVALIAÇÃO MAPA'!AS92</f>
        <v/>
      </c>
      <c r="AA92" s="32" t="str">
        <f aca="false">'AVALIAÇÃO MAPA'!AP92</f>
        <v/>
      </c>
      <c r="AB92" s="32" t="n">
        <f aca="false">IF(Z92="Fazer primeiro",Y92,-1)</f>
        <v>-1</v>
      </c>
      <c r="AC92" s="32" t="n">
        <f aca="false">IF(Z92="Projeto estratégico",Y92,-1)</f>
        <v>-1</v>
      </c>
      <c r="AD92" s="32" t="n">
        <f aca="false">IF(Z92="Quick win",Y92,-1)</f>
        <v>-1</v>
      </c>
      <c r="AE92" s="32" t="n">
        <f aca="false">IF(Z92="Evitar",Y92,-1)</f>
        <v>-1</v>
      </c>
      <c r="AF92" s="32" t="n">
        <f aca="false">IF(AA92="SIM",Y92,-1)</f>
        <v>-1</v>
      </c>
    </row>
    <row r="93" customFormat="false" ht="15" hidden="false" customHeight="false" outlineLevel="0" collapsed="false">
      <c r="A93" s="15" t="str">
        <f aca="false">IF(COUNT('AVALIAÇÃO MAPA'!$AU$6:$AU$105)&gt;=88,88,"")</f>
        <v/>
      </c>
      <c r="B93" s="15" t="str">
        <f aca="false">IF($A93="","",INDEX('AVALIAÇÃO MAPA'!$A$6:$A$105,MATCH($A93,'AVALIAÇÃO MAPA'!$AU$6:$AU$105,0)))</f>
        <v/>
      </c>
      <c r="C93" s="18" t="str">
        <f aca="false">IF($A93="","",INDEX('AVALIAÇÃO MAPA'!$B$6:$B$105,MATCH($A93,'AVALIAÇÃO MAPA'!$AU$6:$AU$105,0)))</f>
        <v/>
      </c>
      <c r="D93" s="15" t="str">
        <f aca="false">IF($A93="","",INDEX('AVALIAÇÃO MAPA'!$C$6:$C$105,MATCH($A93,'AVALIAÇÃO MAPA'!$AU$6:$AU$105,0)))</f>
        <v/>
      </c>
      <c r="E93" s="35" t="str">
        <f aca="false">IF($A93="","",INDEX('AVALIAÇÃO MAPA'!$AN$6:$AN$105,MATCH($A93,'AVALIAÇÃO MAPA'!$AU$6:$AU$105,0)))</f>
        <v/>
      </c>
      <c r="F93" s="29" t="str">
        <f aca="false">IF($A93="","",INDEX('AVALIAÇÃO MAPA'!$AJ$6:$AJ$105,MATCH($A93,'AVALIAÇÃO MAPA'!$AU$6:$AU$105,0)))</f>
        <v/>
      </c>
      <c r="G93" s="29" t="str">
        <f aca="false">IF($A93="","",INDEX('AVALIAÇÃO MAPA'!$AM$6:$AM$105,MATCH($A93,'AVALIAÇÃO MAPA'!$AU$6:$AU$105,0)))</f>
        <v/>
      </c>
      <c r="H93" s="15" t="str">
        <f aca="false">IF($A93="","",INDEX('AVALIAÇÃO MAPA'!$AS$6:$AS$105,MATCH($A93,'AVALIAÇÃO MAPA'!$AU$6:$AU$105,0)))</f>
        <v/>
      </c>
      <c r="I93" s="15" t="str">
        <f aca="false">IF($A93="","",INDEX('AVALIAÇÃO MAPA'!$AP$6:$AP$105,MATCH($A93,'AVALIAÇÃO MAPA'!$AU$6:$AU$105,0)))</f>
        <v/>
      </c>
      <c r="J93" s="15" t="str">
        <f aca="false">IF($A93="","",INDEX('AVALIAÇÃO MAPA'!$AQ$6:$AQ$105,MATCH($A93,'AVALIAÇÃO MAPA'!$AU$6:$AU$105,0)))</f>
        <v/>
      </c>
      <c r="K93" s="15" t="str">
        <f aca="false">IF($A93="","",INDEX('AVALIAÇÃO MAPA'!$AR$6:$AR$105,MATCH($A93,'AVALIAÇÃO MAPA'!$AU$6:$AU$105,0)))</f>
        <v/>
      </c>
      <c r="L93" s="15" t="str">
        <f aca="false">IF($A93="","",INDEX('AVALIAÇÃO MAPA'!$AT$6:$AT$105,MATCH($A93,'AVALIAÇÃO MAPA'!$AU$6:$AU$105,0)))</f>
        <v/>
      </c>
      <c r="M93" s="15" t="str">
        <f aca="false">IF($A93="","",INDEX('AVALIAÇÃO MAPA'!$AW$6:$AW$105,MATCH($A93,'AVALIAÇÃO MAPA'!$AU$6:$AU$105,0)))</f>
        <v/>
      </c>
      <c r="N93" s="27" t="str">
        <f aca="false">IF($A93="","",INDEX('AVALIAÇÃO MAPA'!$BB$6:$BB$105,MATCH($A93,'AVALIAÇÃO MAPA'!$AU$6:$AU$105,0)))</f>
        <v/>
      </c>
      <c r="W93" s="32" t="n">
        <v>88</v>
      </c>
      <c r="X93" s="32" t="n">
        <f aca="false">IF(AND('AVALIAÇÃO MAPA'!AN93&lt;&gt;"",'AVALIAÇÃO MAPA'!D93=1),'AVALIAÇÃO MAPA'!AM93,-1)</f>
        <v>-1</v>
      </c>
      <c r="Y93" s="32" t="n">
        <f aca="false">IF(AND('AVALIAÇÃO MAPA'!AN93&lt;&gt;"",'AVALIAÇÃO MAPA'!D93=1),'AVALIAÇÃO MAPA'!AJ93,-1)</f>
        <v>-1</v>
      </c>
      <c r="Z93" s="32" t="str">
        <f aca="false">'AVALIAÇÃO MAPA'!AS93</f>
        <v/>
      </c>
      <c r="AA93" s="32" t="str">
        <f aca="false">'AVALIAÇÃO MAPA'!AP93</f>
        <v/>
      </c>
      <c r="AB93" s="32" t="n">
        <f aca="false">IF(Z93="Fazer primeiro",Y93,-1)</f>
        <v>-1</v>
      </c>
      <c r="AC93" s="32" t="n">
        <f aca="false">IF(Z93="Projeto estratégico",Y93,-1)</f>
        <v>-1</v>
      </c>
      <c r="AD93" s="32" t="n">
        <f aca="false">IF(Z93="Quick win",Y93,-1)</f>
        <v>-1</v>
      </c>
      <c r="AE93" s="32" t="n">
        <f aca="false">IF(Z93="Evitar",Y93,-1)</f>
        <v>-1</v>
      </c>
      <c r="AF93" s="32" t="n">
        <f aca="false">IF(AA93="SIM",Y93,-1)</f>
        <v>-1</v>
      </c>
    </row>
    <row r="94" customFormat="false" ht="15" hidden="false" customHeight="false" outlineLevel="0" collapsed="false">
      <c r="A94" s="15" t="str">
        <f aca="false">IF(COUNT('AVALIAÇÃO MAPA'!$AU$6:$AU$105)&gt;=89,89,"")</f>
        <v/>
      </c>
      <c r="B94" s="15" t="str">
        <f aca="false">IF($A94="","",INDEX('AVALIAÇÃO MAPA'!$A$6:$A$105,MATCH($A94,'AVALIAÇÃO MAPA'!$AU$6:$AU$105,0)))</f>
        <v/>
      </c>
      <c r="C94" s="18" t="str">
        <f aca="false">IF($A94="","",INDEX('AVALIAÇÃO MAPA'!$B$6:$B$105,MATCH($A94,'AVALIAÇÃO MAPA'!$AU$6:$AU$105,0)))</f>
        <v/>
      </c>
      <c r="D94" s="15" t="str">
        <f aca="false">IF($A94="","",INDEX('AVALIAÇÃO MAPA'!$C$6:$C$105,MATCH($A94,'AVALIAÇÃO MAPA'!$AU$6:$AU$105,0)))</f>
        <v/>
      </c>
      <c r="E94" s="35" t="str">
        <f aca="false">IF($A94="","",INDEX('AVALIAÇÃO MAPA'!$AN$6:$AN$105,MATCH($A94,'AVALIAÇÃO MAPA'!$AU$6:$AU$105,0)))</f>
        <v/>
      </c>
      <c r="F94" s="29" t="str">
        <f aca="false">IF($A94="","",INDEX('AVALIAÇÃO MAPA'!$AJ$6:$AJ$105,MATCH($A94,'AVALIAÇÃO MAPA'!$AU$6:$AU$105,0)))</f>
        <v/>
      </c>
      <c r="G94" s="29" t="str">
        <f aca="false">IF($A94="","",INDEX('AVALIAÇÃO MAPA'!$AM$6:$AM$105,MATCH($A94,'AVALIAÇÃO MAPA'!$AU$6:$AU$105,0)))</f>
        <v/>
      </c>
      <c r="H94" s="15" t="str">
        <f aca="false">IF($A94="","",INDEX('AVALIAÇÃO MAPA'!$AS$6:$AS$105,MATCH($A94,'AVALIAÇÃO MAPA'!$AU$6:$AU$105,0)))</f>
        <v/>
      </c>
      <c r="I94" s="15" t="str">
        <f aca="false">IF($A94="","",INDEX('AVALIAÇÃO MAPA'!$AP$6:$AP$105,MATCH($A94,'AVALIAÇÃO MAPA'!$AU$6:$AU$105,0)))</f>
        <v/>
      </c>
      <c r="J94" s="15" t="str">
        <f aca="false">IF($A94="","",INDEX('AVALIAÇÃO MAPA'!$AQ$6:$AQ$105,MATCH($A94,'AVALIAÇÃO MAPA'!$AU$6:$AU$105,0)))</f>
        <v/>
      </c>
      <c r="K94" s="15" t="str">
        <f aca="false">IF($A94="","",INDEX('AVALIAÇÃO MAPA'!$AR$6:$AR$105,MATCH($A94,'AVALIAÇÃO MAPA'!$AU$6:$AU$105,0)))</f>
        <v/>
      </c>
      <c r="L94" s="15" t="str">
        <f aca="false">IF($A94="","",INDEX('AVALIAÇÃO MAPA'!$AT$6:$AT$105,MATCH($A94,'AVALIAÇÃO MAPA'!$AU$6:$AU$105,0)))</f>
        <v/>
      </c>
      <c r="M94" s="15" t="str">
        <f aca="false">IF($A94="","",INDEX('AVALIAÇÃO MAPA'!$AW$6:$AW$105,MATCH($A94,'AVALIAÇÃO MAPA'!$AU$6:$AU$105,0)))</f>
        <v/>
      </c>
      <c r="N94" s="27" t="str">
        <f aca="false">IF($A94="","",INDEX('AVALIAÇÃO MAPA'!$BB$6:$BB$105,MATCH($A94,'AVALIAÇÃO MAPA'!$AU$6:$AU$105,0)))</f>
        <v/>
      </c>
      <c r="W94" s="32" t="n">
        <v>89</v>
      </c>
      <c r="X94" s="32" t="n">
        <f aca="false">IF(AND('AVALIAÇÃO MAPA'!AN94&lt;&gt;"",'AVALIAÇÃO MAPA'!D94=1),'AVALIAÇÃO MAPA'!AM94,-1)</f>
        <v>-1</v>
      </c>
      <c r="Y94" s="32" t="n">
        <f aca="false">IF(AND('AVALIAÇÃO MAPA'!AN94&lt;&gt;"",'AVALIAÇÃO MAPA'!D94=1),'AVALIAÇÃO MAPA'!AJ94,-1)</f>
        <v>-1</v>
      </c>
      <c r="Z94" s="32" t="str">
        <f aca="false">'AVALIAÇÃO MAPA'!AS94</f>
        <v/>
      </c>
      <c r="AA94" s="32" t="str">
        <f aca="false">'AVALIAÇÃO MAPA'!AP94</f>
        <v/>
      </c>
      <c r="AB94" s="32" t="n">
        <f aca="false">IF(Z94="Fazer primeiro",Y94,-1)</f>
        <v>-1</v>
      </c>
      <c r="AC94" s="32" t="n">
        <f aca="false">IF(Z94="Projeto estratégico",Y94,-1)</f>
        <v>-1</v>
      </c>
      <c r="AD94" s="32" t="n">
        <f aca="false">IF(Z94="Quick win",Y94,-1)</f>
        <v>-1</v>
      </c>
      <c r="AE94" s="32" t="n">
        <f aca="false">IF(Z94="Evitar",Y94,-1)</f>
        <v>-1</v>
      </c>
      <c r="AF94" s="32" t="n">
        <f aca="false">IF(AA94="SIM",Y94,-1)</f>
        <v>-1</v>
      </c>
    </row>
    <row r="95" customFormat="false" ht="15" hidden="false" customHeight="false" outlineLevel="0" collapsed="false">
      <c r="A95" s="15" t="str">
        <f aca="false">IF(COUNT('AVALIAÇÃO MAPA'!$AU$6:$AU$105)&gt;=90,90,"")</f>
        <v/>
      </c>
      <c r="B95" s="15" t="str">
        <f aca="false">IF($A95="","",INDEX('AVALIAÇÃO MAPA'!$A$6:$A$105,MATCH($A95,'AVALIAÇÃO MAPA'!$AU$6:$AU$105,0)))</f>
        <v/>
      </c>
      <c r="C95" s="18" t="str">
        <f aca="false">IF($A95="","",INDEX('AVALIAÇÃO MAPA'!$B$6:$B$105,MATCH($A95,'AVALIAÇÃO MAPA'!$AU$6:$AU$105,0)))</f>
        <v/>
      </c>
      <c r="D95" s="15" t="str">
        <f aca="false">IF($A95="","",INDEX('AVALIAÇÃO MAPA'!$C$6:$C$105,MATCH($A95,'AVALIAÇÃO MAPA'!$AU$6:$AU$105,0)))</f>
        <v/>
      </c>
      <c r="E95" s="35" t="str">
        <f aca="false">IF($A95="","",INDEX('AVALIAÇÃO MAPA'!$AN$6:$AN$105,MATCH($A95,'AVALIAÇÃO MAPA'!$AU$6:$AU$105,0)))</f>
        <v/>
      </c>
      <c r="F95" s="29" t="str">
        <f aca="false">IF($A95="","",INDEX('AVALIAÇÃO MAPA'!$AJ$6:$AJ$105,MATCH($A95,'AVALIAÇÃO MAPA'!$AU$6:$AU$105,0)))</f>
        <v/>
      </c>
      <c r="G95" s="29" t="str">
        <f aca="false">IF($A95="","",INDEX('AVALIAÇÃO MAPA'!$AM$6:$AM$105,MATCH($A95,'AVALIAÇÃO MAPA'!$AU$6:$AU$105,0)))</f>
        <v/>
      </c>
      <c r="H95" s="15" t="str">
        <f aca="false">IF($A95="","",INDEX('AVALIAÇÃO MAPA'!$AS$6:$AS$105,MATCH($A95,'AVALIAÇÃO MAPA'!$AU$6:$AU$105,0)))</f>
        <v/>
      </c>
      <c r="I95" s="15" t="str">
        <f aca="false">IF($A95="","",INDEX('AVALIAÇÃO MAPA'!$AP$6:$AP$105,MATCH($A95,'AVALIAÇÃO MAPA'!$AU$6:$AU$105,0)))</f>
        <v/>
      </c>
      <c r="J95" s="15" t="str">
        <f aca="false">IF($A95="","",INDEX('AVALIAÇÃO MAPA'!$AQ$6:$AQ$105,MATCH($A95,'AVALIAÇÃO MAPA'!$AU$6:$AU$105,0)))</f>
        <v/>
      </c>
      <c r="K95" s="15" t="str">
        <f aca="false">IF($A95="","",INDEX('AVALIAÇÃO MAPA'!$AR$6:$AR$105,MATCH($A95,'AVALIAÇÃO MAPA'!$AU$6:$AU$105,0)))</f>
        <v/>
      </c>
      <c r="L95" s="15" t="str">
        <f aca="false">IF($A95="","",INDEX('AVALIAÇÃO MAPA'!$AT$6:$AT$105,MATCH($A95,'AVALIAÇÃO MAPA'!$AU$6:$AU$105,0)))</f>
        <v/>
      </c>
      <c r="M95" s="15" t="str">
        <f aca="false">IF($A95="","",INDEX('AVALIAÇÃO MAPA'!$AW$6:$AW$105,MATCH($A95,'AVALIAÇÃO MAPA'!$AU$6:$AU$105,0)))</f>
        <v/>
      </c>
      <c r="N95" s="27" t="str">
        <f aca="false">IF($A95="","",INDEX('AVALIAÇÃO MAPA'!$BB$6:$BB$105,MATCH($A95,'AVALIAÇÃO MAPA'!$AU$6:$AU$105,0)))</f>
        <v/>
      </c>
      <c r="W95" s="32" t="n">
        <v>90</v>
      </c>
      <c r="X95" s="32" t="n">
        <f aca="false">IF(AND('AVALIAÇÃO MAPA'!AN95&lt;&gt;"",'AVALIAÇÃO MAPA'!D95=1),'AVALIAÇÃO MAPA'!AM95,-1)</f>
        <v>-1</v>
      </c>
      <c r="Y95" s="32" t="n">
        <f aca="false">IF(AND('AVALIAÇÃO MAPA'!AN95&lt;&gt;"",'AVALIAÇÃO MAPA'!D95=1),'AVALIAÇÃO MAPA'!AJ95,-1)</f>
        <v>-1</v>
      </c>
      <c r="Z95" s="32" t="str">
        <f aca="false">'AVALIAÇÃO MAPA'!AS95</f>
        <v/>
      </c>
      <c r="AA95" s="32" t="str">
        <f aca="false">'AVALIAÇÃO MAPA'!AP95</f>
        <v/>
      </c>
      <c r="AB95" s="32" t="n">
        <f aca="false">IF(Z95="Fazer primeiro",Y95,-1)</f>
        <v>-1</v>
      </c>
      <c r="AC95" s="32" t="n">
        <f aca="false">IF(Z95="Projeto estratégico",Y95,-1)</f>
        <v>-1</v>
      </c>
      <c r="AD95" s="32" t="n">
        <f aca="false">IF(Z95="Quick win",Y95,-1)</f>
        <v>-1</v>
      </c>
      <c r="AE95" s="32" t="n">
        <f aca="false">IF(Z95="Evitar",Y95,-1)</f>
        <v>-1</v>
      </c>
      <c r="AF95" s="32" t="n">
        <f aca="false">IF(AA95="SIM",Y95,-1)</f>
        <v>-1</v>
      </c>
    </row>
    <row r="96" customFormat="false" ht="15" hidden="false" customHeight="false" outlineLevel="0" collapsed="false">
      <c r="A96" s="15" t="str">
        <f aca="false">IF(COUNT('AVALIAÇÃO MAPA'!$AU$6:$AU$105)&gt;=91,91,"")</f>
        <v/>
      </c>
      <c r="B96" s="15" t="str">
        <f aca="false">IF($A96="","",INDEX('AVALIAÇÃO MAPA'!$A$6:$A$105,MATCH($A96,'AVALIAÇÃO MAPA'!$AU$6:$AU$105,0)))</f>
        <v/>
      </c>
      <c r="C96" s="18" t="str">
        <f aca="false">IF($A96="","",INDEX('AVALIAÇÃO MAPA'!$B$6:$B$105,MATCH($A96,'AVALIAÇÃO MAPA'!$AU$6:$AU$105,0)))</f>
        <v/>
      </c>
      <c r="D96" s="15" t="str">
        <f aca="false">IF($A96="","",INDEX('AVALIAÇÃO MAPA'!$C$6:$C$105,MATCH($A96,'AVALIAÇÃO MAPA'!$AU$6:$AU$105,0)))</f>
        <v/>
      </c>
      <c r="E96" s="35" t="str">
        <f aca="false">IF($A96="","",INDEX('AVALIAÇÃO MAPA'!$AN$6:$AN$105,MATCH($A96,'AVALIAÇÃO MAPA'!$AU$6:$AU$105,0)))</f>
        <v/>
      </c>
      <c r="F96" s="29" t="str">
        <f aca="false">IF($A96="","",INDEX('AVALIAÇÃO MAPA'!$AJ$6:$AJ$105,MATCH($A96,'AVALIAÇÃO MAPA'!$AU$6:$AU$105,0)))</f>
        <v/>
      </c>
      <c r="G96" s="29" t="str">
        <f aca="false">IF($A96="","",INDEX('AVALIAÇÃO MAPA'!$AM$6:$AM$105,MATCH($A96,'AVALIAÇÃO MAPA'!$AU$6:$AU$105,0)))</f>
        <v/>
      </c>
      <c r="H96" s="15" t="str">
        <f aca="false">IF($A96="","",INDEX('AVALIAÇÃO MAPA'!$AS$6:$AS$105,MATCH($A96,'AVALIAÇÃO MAPA'!$AU$6:$AU$105,0)))</f>
        <v/>
      </c>
      <c r="I96" s="15" t="str">
        <f aca="false">IF($A96="","",INDEX('AVALIAÇÃO MAPA'!$AP$6:$AP$105,MATCH($A96,'AVALIAÇÃO MAPA'!$AU$6:$AU$105,0)))</f>
        <v/>
      </c>
      <c r="J96" s="15" t="str">
        <f aca="false">IF($A96="","",INDEX('AVALIAÇÃO MAPA'!$AQ$6:$AQ$105,MATCH($A96,'AVALIAÇÃO MAPA'!$AU$6:$AU$105,0)))</f>
        <v/>
      </c>
      <c r="K96" s="15" t="str">
        <f aca="false">IF($A96="","",INDEX('AVALIAÇÃO MAPA'!$AR$6:$AR$105,MATCH($A96,'AVALIAÇÃO MAPA'!$AU$6:$AU$105,0)))</f>
        <v/>
      </c>
      <c r="L96" s="15" t="str">
        <f aca="false">IF($A96="","",INDEX('AVALIAÇÃO MAPA'!$AT$6:$AT$105,MATCH($A96,'AVALIAÇÃO MAPA'!$AU$6:$AU$105,0)))</f>
        <v/>
      </c>
      <c r="M96" s="15" t="str">
        <f aca="false">IF($A96="","",INDEX('AVALIAÇÃO MAPA'!$AW$6:$AW$105,MATCH($A96,'AVALIAÇÃO MAPA'!$AU$6:$AU$105,0)))</f>
        <v/>
      </c>
      <c r="N96" s="27" t="str">
        <f aca="false">IF($A96="","",INDEX('AVALIAÇÃO MAPA'!$BB$6:$BB$105,MATCH($A96,'AVALIAÇÃO MAPA'!$AU$6:$AU$105,0)))</f>
        <v/>
      </c>
      <c r="W96" s="32" t="n">
        <v>91</v>
      </c>
      <c r="X96" s="32" t="n">
        <f aca="false">IF(AND('AVALIAÇÃO MAPA'!AN96&lt;&gt;"",'AVALIAÇÃO MAPA'!D96=1),'AVALIAÇÃO MAPA'!AM96,-1)</f>
        <v>-1</v>
      </c>
      <c r="Y96" s="32" t="n">
        <f aca="false">IF(AND('AVALIAÇÃO MAPA'!AN96&lt;&gt;"",'AVALIAÇÃO MAPA'!D96=1),'AVALIAÇÃO MAPA'!AJ96,-1)</f>
        <v>-1</v>
      </c>
      <c r="Z96" s="32" t="str">
        <f aca="false">'AVALIAÇÃO MAPA'!AS96</f>
        <v/>
      </c>
      <c r="AA96" s="32" t="str">
        <f aca="false">'AVALIAÇÃO MAPA'!AP96</f>
        <v/>
      </c>
      <c r="AB96" s="32" t="n">
        <f aca="false">IF(Z96="Fazer primeiro",Y96,-1)</f>
        <v>-1</v>
      </c>
      <c r="AC96" s="32" t="n">
        <f aca="false">IF(Z96="Projeto estratégico",Y96,-1)</f>
        <v>-1</v>
      </c>
      <c r="AD96" s="32" t="n">
        <f aca="false">IF(Z96="Quick win",Y96,-1)</f>
        <v>-1</v>
      </c>
      <c r="AE96" s="32" t="n">
        <f aca="false">IF(Z96="Evitar",Y96,-1)</f>
        <v>-1</v>
      </c>
      <c r="AF96" s="32" t="n">
        <f aca="false">IF(AA96="SIM",Y96,-1)</f>
        <v>-1</v>
      </c>
    </row>
    <row r="97" customFormat="false" ht="15" hidden="false" customHeight="false" outlineLevel="0" collapsed="false">
      <c r="A97" s="15" t="str">
        <f aca="false">IF(COUNT('AVALIAÇÃO MAPA'!$AU$6:$AU$105)&gt;=92,92,"")</f>
        <v/>
      </c>
      <c r="B97" s="15" t="str">
        <f aca="false">IF($A97="","",INDEX('AVALIAÇÃO MAPA'!$A$6:$A$105,MATCH($A97,'AVALIAÇÃO MAPA'!$AU$6:$AU$105,0)))</f>
        <v/>
      </c>
      <c r="C97" s="18" t="str">
        <f aca="false">IF($A97="","",INDEX('AVALIAÇÃO MAPA'!$B$6:$B$105,MATCH($A97,'AVALIAÇÃO MAPA'!$AU$6:$AU$105,0)))</f>
        <v/>
      </c>
      <c r="D97" s="15" t="str">
        <f aca="false">IF($A97="","",INDEX('AVALIAÇÃO MAPA'!$C$6:$C$105,MATCH($A97,'AVALIAÇÃO MAPA'!$AU$6:$AU$105,0)))</f>
        <v/>
      </c>
      <c r="E97" s="35" t="str">
        <f aca="false">IF($A97="","",INDEX('AVALIAÇÃO MAPA'!$AN$6:$AN$105,MATCH($A97,'AVALIAÇÃO MAPA'!$AU$6:$AU$105,0)))</f>
        <v/>
      </c>
      <c r="F97" s="29" t="str">
        <f aca="false">IF($A97="","",INDEX('AVALIAÇÃO MAPA'!$AJ$6:$AJ$105,MATCH($A97,'AVALIAÇÃO MAPA'!$AU$6:$AU$105,0)))</f>
        <v/>
      </c>
      <c r="G97" s="29" t="str">
        <f aca="false">IF($A97="","",INDEX('AVALIAÇÃO MAPA'!$AM$6:$AM$105,MATCH($A97,'AVALIAÇÃO MAPA'!$AU$6:$AU$105,0)))</f>
        <v/>
      </c>
      <c r="H97" s="15" t="str">
        <f aca="false">IF($A97="","",INDEX('AVALIAÇÃO MAPA'!$AS$6:$AS$105,MATCH($A97,'AVALIAÇÃO MAPA'!$AU$6:$AU$105,0)))</f>
        <v/>
      </c>
      <c r="I97" s="15" t="str">
        <f aca="false">IF($A97="","",INDEX('AVALIAÇÃO MAPA'!$AP$6:$AP$105,MATCH($A97,'AVALIAÇÃO MAPA'!$AU$6:$AU$105,0)))</f>
        <v/>
      </c>
      <c r="J97" s="15" t="str">
        <f aca="false">IF($A97="","",INDEX('AVALIAÇÃO MAPA'!$AQ$6:$AQ$105,MATCH($A97,'AVALIAÇÃO MAPA'!$AU$6:$AU$105,0)))</f>
        <v/>
      </c>
      <c r="K97" s="15" t="str">
        <f aca="false">IF($A97="","",INDEX('AVALIAÇÃO MAPA'!$AR$6:$AR$105,MATCH($A97,'AVALIAÇÃO MAPA'!$AU$6:$AU$105,0)))</f>
        <v/>
      </c>
      <c r="L97" s="15" t="str">
        <f aca="false">IF($A97="","",INDEX('AVALIAÇÃO MAPA'!$AT$6:$AT$105,MATCH($A97,'AVALIAÇÃO MAPA'!$AU$6:$AU$105,0)))</f>
        <v/>
      </c>
      <c r="M97" s="15" t="str">
        <f aca="false">IF($A97="","",INDEX('AVALIAÇÃO MAPA'!$AW$6:$AW$105,MATCH($A97,'AVALIAÇÃO MAPA'!$AU$6:$AU$105,0)))</f>
        <v/>
      </c>
      <c r="N97" s="27" t="str">
        <f aca="false">IF($A97="","",INDEX('AVALIAÇÃO MAPA'!$BB$6:$BB$105,MATCH($A97,'AVALIAÇÃO MAPA'!$AU$6:$AU$105,0)))</f>
        <v/>
      </c>
      <c r="W97" s="32" t="n">
        <v>92</v>
      </c>
      <c r="X97" s="32" t="n">
        <f aca="false">IF(AND('AVALIAÇÃO MAPA'!AN97&lt;&gt;"",'AVALIAÇÃO MAPA'!D97=1),'AVALIAÇÃO MAPA'!AM97,-1)</f>
        <v>-1</v>
      </c>
      <c r="Y97" s="32" t="n">
        <f aca="false">IF(AND('AVALIAÇÃO MAPA'!AN97&lt;&gt;"",'AVALIAÇÃO MAPA'!D97=1),'AVALIAÇÃO MAPA'!AJ97,-1)</f>
        <v>-1</v>
      </c>
      <c r="Z97" s="32" t="str">
        <f aca="false">'AVALIAÇÃO MAPA'!AS97</f>
        <v/>
      </c>
      <c r="AA97" s="32" t="str">
        <f aca="false">'AVALIAÇÃO MAPA'!AP97</f>
        <v/>
      </c>
      <c r="AB97" s="32" t="n">
        <f aca="false">IF(Z97="Fazer primeiro",Y97,-1)</f>
        <v>-1</v>
      </c>
      <c r="AC97" s="32" t="n">
        <f aca="false">IF(Z97="Projeto estratégico",Y97,-1)</f>
        <v>-1</v>
      </c>
      <c r="AD97" s="32" t="n">
        <f aca="false">IF(Z97="Quick win",Y97,-1)</f>
        <v>-1</v>
      </c>
      <c r="AE97" s="32" t="n">
        <f aca="false">IF(Z97="Evitar",Y97,-1)</f>
        <v>-1</v>
      </c>
      <c r="AF97" s="32" t="n">
        <f aca="false">IF(AA97="SIM",Y97,-1)</f>
        <v>-1</v>
      </c>
    </row>
    <row r="98" customFormat="false" ht="15" hidden="false" customHeight="false" outlineLevel="0" collapsed="false">
      <c r="A98" s="15" t="str">
        <f aca="false">IF(COUNT('AVALIAÇÃO MAPA'!$AU$6:$AU$105)&gt;=93,93,"")</f>
        <v/>
      </c>
      <c r="B98" s="15" t="str">
        <f aca="false">IF($A98="","",INDEX('AVALIAÇÃO MAPA'!$A$6:$A$105,MATCH($A98,'AVALIAÇÃO MAPA'!$AU$6:$AU$105,0)))</f>
        <v/>
      </c>
      <c r="C98" s="18" t="str">
        <f aca="false">IF($A98="","",INDEX('AVALIAÇÃO MAPA'!$B$6:$B$105,MATCH($A98,'AVALIAÇÃO MAPA'!$AU$6:$AU$105,0)))</f>
        <v/>
      </c>
      <c r="D98" s="15" t="str">
        <f aca="false">IF($A98="","",INDEX('AVALIAÇÃO MAPA'!$C$6:$C$105,MATCH($A98,'AVALIAÇÃO MAPA'!$AU$6:$AU$105,0)))</f>
        <v/>
      </c>
      <c r="E98" s="35" t="str">
        <f aca="false">IF($A98="","",INDEX('AVALIAÇÃO MAPA'!$AN$6:$AN$105,MATCH($A98,'AVALIAÇÃO MAPA'!$AU$6:$AU$105,0)))</f>
        <v/>
      </c>
      <c r="F98" s="29" t="str">
        <f aca="false">IF($A98="","",INDEX('AVALIAÇÃO MAPA'!$AJ$6:$AJ$105,MATCH($A98,'AVALIAÇÃO MAPA'!$AU$6:$AU$105,0)))</f>
        <v/>
      </c>
      <c r="G98" s="29" t="str">
        <f aca="false">IF($A98="","",INDEX('AVALIAÇÃO MAPA'!$AM$6:$AM$105,MATCH($A98,'AVALIAÇÃO MAPA'!$AU$6:$AU$105,0)))</f>
        <v/>
      </c>
      <c r="H98" s="15" t="str">
        <f aca="false">IF($A98="","",INDEX('AVALIAÇÃO MAPA'!$AS$6:$AS$105,MATCH($A98,'AVALIAÇÃO MAPA'!$AU$6:$AU$105,0)))</f>
        <v/>
      </c>
      <c r="I98" s="15" t="str">
        <f aca="false">IF($A98="","",INDEX('AVALIAÇÃO MAPA'!$AP$6:$AP$105,MATCH($A98,'AVALIAÇÃO MAPA'!$AU$6:$AU$105,0)))</f>
        <v/>
      </c>
      <c r="J98" s="15" t="str">
        <f aca="false">IF($A98="","",INDEX('AVALIAÇÃO MAPA'!$AQ$6:$AQ$105,MATCH($A98,'AVALIAÇÃO MAPA'!$AU$6:$AU$105,0)))</f>
        <v/>
      </c>
      <c r="K98" s="15" t="str">
        <f aca="false">IF($A98="","",INDEX('AVALIAÇÃO MAPA'!$AR$6:$AR$105,MATCH($A98,'AVALIAÇÃO MAPA'!$AU$6:$AU$105,0)))</f>
        <v/>
      </c>
      <c r="L98" s="15" t="str">
        <f aca="false">IF($A98="","",INDEX('AVALIAÇÃO MAPA'!$AT$6:$AT$105,MATCH($A98,'AVALIAÇÃO MAPA'!$AU$6:$AU$105,0)))</f>
        <v/>
      </c>
      <c r="M98" s="15" t="str">
        <f aca="false">IF($A98="","",INDEX('AVALIAÇÃO MAPA'!$AW$6:$AW$105,MATCH($A98,'AVALIAÇÃO MAPA'!$AU$6:$AU$105,0)))</f>
        <v/>
      </c>
      <c r="N98" s="27" t="str">
        <f aca="false">IF($A98="","",INDEX('AVALIAÇÃO MAPA'!$BB$6:$BB$105,MATCH($A98,'AVALIAÇÃO MAPA'!$AU$6:$AU$105,0)))</f>
        <v/>
      </c>
      <c r="W98" s="32" t="n">
        <v>93</v>
      </c>
      <c r="X98" s="32" t="n">
        <f aca="false">IF(AND('AVALIAÇÃO MAPA'!AN98&lt;&gt;"",'AVALIAÇÃO MAPA'!D98=1),'AVALIAÇÃO MAPA'!AM98,-1)</f>
        <v>-1</v>
      </c>
      <c r="Y98" s="32" t="n">
        <f aca="false">IF(AND('AVALIAÇÃO MAPA'!AN98&lt;&gt;"",'AVALIAÇÃO MAPA'!D98=1),'AVALIAÇÃO MAPA'!AJ98,-1)</f>
        <v>-1</v>
      </c>
      <c r="Z98" s="32" t="str">
        <f aca="false">'AVALIAÇÃO MAPA'!AS98</f>
        <v/>
      </c>
      <c r="AA98" s="32" t="str">
        <f aca="false">'AVALIAÇÃO MAPA'!AP98</f>
        <v/>
      </c>
      <c r="AB98" s="32" t="n">
        <f aca="false">IF(Z98="Fazer primeiro",Y98,-1)</f>
        <v>-1</v>
      </c>
      <c r="AC98" s="32" t="n">
        <f aca="false">IF(Z98="Projeto estratégico",Y98,-1)</f>
        <v>-1</v>
      </c>
      <c r="AD98" s="32" t="n">
        <f aca="false">IF(Z98="Quick win",Y98,-1)</f>
        <v>-1</v>
      </c>
      <c r="AE98" s="32" t="n">
        <f aca="false">IF(Z98="Evitar",Y98,-1)</f>
        <v>-1</v>
      </c>
      <c r="AF98" s="32" t="n">
        <f aca="false">IF(AA98="SIM",Y98,-1)</f>
        <v>-1</v>
      </c>
    </row>
    <row r="99" customFormat="false" ht="15" hidden="false" customHeight="false" outlineLevel="0" collapsed="false">
      <c r="A99" s="15" t="str">
        <f aca="false">IF(COUNT('AVALIAÇÃO MAPA'!$AU$6:$AU$105)&gt;=94,94,"")</f>
        <v/>
      </c>
      <c r="B99" s="15" t="str">
        <f aca="false">IF($A99="","",INDEX('AVALIAÇÃO MAPA'!$A$6:$A$105,MATCH($A99,'AVALIAÇÃO MAPA'!$AU$6:$AU$105,0)))</f>
        <v/>
      </c>
      <c r="C99" s="18" t="str">
        <f aca="false">IF($A99="","",INDEX('AVALIAÇÃO MAPA'!$B$6:$B$105,MATCH($A99,'AVALIAÇÃO MAPA'!$AU$6:$AU$105,0)))</f>
        <v/>
      </c>
      <c r="D99" s="15" t="str">
        <f aca="false">IF($A99="","",INDEX('AVALIAÇÃO MAPA'!$C$6:$C$105,MATCH($A99,'AVALIAÇÃO MAPA'!$AU$6:$AU$105,0)))</f>
        <v/>
      </c>
      <c r="E99" s="35" t="str">
        <f aca="false">IF($A99="","",INDEX('AVALIAÇÃO MAPA'!$AN$6:$AN$105,MATCH($A99,'AVALIAÇÃO MAPA'!$AU$6:$AU$105,0)))</f>
        <v/>
      </c>
      <c r="F99" s="29" t="str">
        <f aca="false">IF($A99="","",INDEX('AVALIAÇÃO MAPA'!$AJ$6:$AJ$105,MATCH($A99,'AVALIAÇÃO MAPA'!$AU$6:$AU$105,0)))</f>
        <v/>
      </c>
      <c r="G99" s="29" t="str">
        <f aca="false">IF($A99="","",INDEX('AVALIAÇÃO MAPA'!$AM$6:$AM$105,MATCH($A99,'AVALIAÇÃO MAPA'!$AU$6:$AU$105,0)))</f>
        <v/>
      </c>
      <c r="H99" s="15" t="str">
        <f aca="false">IF($A99="","",INDEX('AVALIAÇÃO MAPA'!$AS$6:$AS$105,MATCH($A99,'AVALIAÇÃO MAPA'!$AU$6:$AU$105,0)))</f>
        <v/>
      </c>
      <c r="I99" s="15" t="str">
        <f aca="false">IF($A99="","",INDEX('AVALIAÇÃO MAPA'!$AP$6:$AP$105,MATCH($A99,'AVALIAÇÃO MAPA'!$AU$6:$AU$105,0)))</f>
        <v/>
      </c>
      <c r="J99" s="15" t="str">
        <f aca="false">IF($A99="","",INDEX('AVALIAÇÃO MAPA'!$AQ$6:$AQ$105,MATCH($A99,'AVALIAÇÃO MAPA'!$AU$6:$AU$105,0)))</f>
        <v/>
      </c>
      <c r="K99" s="15" t="str">
        <f aca="false">IF($A99="","",INDEX('AVALIAÇÃO MAPA'!$AR$6:$AR$105,MATCH($A99,'AVALIAÇÃO MAPA'!$AU$6:$AU$105,0)))</f>
        <v/>
      </c>
      <c r="L99" s="15" t="str">
        <f aca="false">IF($A99="","",INDEX('AVALIAÇÃO MAPA'!$AT$6:$AT$105,MATCH($A99,'AVALIAÇÃO MAPA'!$AU$6:$AU$105,0)))</f>
        <v/>
      </c>
      <c r="M99" s="15" t="str">
        <f aca="false">IF($A99="","",INDEX('AVALIAÇÃO MAPA'!$AW$6:$AW$105,MATCH($A99,'AVALIAÇÃO MAPA'!$AU$6:$AU$105,0)))</f>
        <v/>
      </c>
      <c r="N99" s="27" t="str">
        <f aca="false">IF($A99="","",INDEX('AVALIAÇÃO MAPA'!$BB$6:$BB$105,MATCH($A99,'AVALIAÇÃO MAPA'!$AU$6:$AU$105,0)))</f>
        <v/>
      </c>
      <c r="W99" s="32" t="n">
        <v>94</v>
      </c>
      <c r="X99" s="32" t="n">
        <f aca="false">IF(AND('AVALIAÇÃO MAPA'!AN99&lt;&gt;"",'AVALIAÇÃO MAPA'!D99=1),'AVALIAÇÃO MAPA'!AM99,-1)</f>
        <v>-1</v>
      </c>
      <c r="Y99" s="32" t="n">
        <f aca="false">IF(AND('AVALIAÇÃO MAPA'!AN99&lt;&gt;"",'AVALIAÇÃO MAPA'!D99=1),'AVALIAÇÃO MAPA'!AJ99,-1)</f>
        <v>-1</v>
      </c>
      <c r="Z99" s="32" t="str">
        <f aca="false">'AVALIAÇÃO MAPA'!AS99</f>
        <v/>
      </c>
      <c r="AA99" s="32" t="str">
        <f aca="false">'AVALIAÇÃO MAPA'!AP99</f>
        <v/>
      </c>
      <c r="AB99" s="32" t="n">
        <f aca="false">IF(Z99="Fazer primeiro",Y99,-1)</f>
        <v>-1</v>
      </c>
      <c r="AC99" s="32" t="n">
        <f aca="false">IF(Z99="Projeto estratégico",Y99,-1)</f>
        <v>-1</v>
      </c>
      <c r="AD99" s="32" t="n">
        <f aca="false">IF(Z99="Quick win",Y99,-1)</f>
        <v>-1</v>
      </c>
      <c r="AE99" s="32" t="n">
        <f aca="false">IF(Z99="Evitar",Y99,-1)</f>
        <v>-1</v>
      </c>
      <c r="AF99" s="32" t="n">
        <f aca="false">IF(AA99="SIM",Y99,-1)</f>
        <v>-1</v>
      </c>
    </row>
    <row r="100" customFormat="false" ht="15" hidden="false" customHeight="false" outlineLevel="0" collapsed="false">
      <c r="A100" s="15" t="str">
        <f aca="false">IF(COUNT('AVALIAÇÃO MAPA'!$AU$6:$AU$105)&gt;=95,95,"")</f>
        <v/>
      </c>
      <c r="B100" s="15" t="str">
        <f aca="false">IF($A100="","",INDEX('AVALIAÇÃO MAPA'!$A$6:$A$105,MATCH($A100,'AVALIAÇÃO MAPA'!$AU$6:$AU$105,0)))</f>
        <v/>
      </c>
      <c r="C100" s="18" t="str">
        <f aca="false">IF($A100="","",INDEX('AVALIAÇÃO MAPA'!$B$6:$B$105,MATCH($A100,'AVALIAÇÃO MAPA'!$AU$6:$AU$105,0)))</f>
        <v/>
      </c>
      <c r="D100" s="15" t="str">
        <f aca="false">IF($A100="","",INDEX('AVALIAÇÃO MAPA'!$C$6:$C$105,MATCH($A100,'AVALIAÇÃO MAPA'!$AU$6:$AU$105,0)))</f>
        <v/>
      </c>
      <c r="E100" s="35" t="str">
        <f aca="false">IF($A100="","",INDEX('AVALIAÇÃO MAPA'!$AN$6:$AN$105,MATCH($A100,'AVALIAÇÃO MAPA'!$AU$6:$AU$105,0)))</f>
        <v/>
      </c>
      <c r="F100" s="29" t="str">
        <f aca="false">IF($A100="","",INDEX('AVALIAÇÃO MAPA'!$AJ$6:$AJ$105,MATCH($A100,'AVALIAÇÃO MAPA'!$AU$6:$AU$105,0)))</f>
        <v/>
      </c>
      <c r="G100" s="29" t="str">
        <f aca="false">IF($A100="","",INDEX('AVALIAÇÃO MAPA'!$AM$6:$AM$105,MATCH($A100,'AVALIAÇÃO MAPA'!$AU$6:$AU$105,0)))</f>
        <v/>
      </c>
      <c r="H100" s="15" t="str">
        <f aca="false">IF($A100="","",INDEX('AVALIAÇÃO MAPA'!$AS$6:$AS$105,MATCH($A100,'AVALIAÇÃO MAPA'!$AU$6:$AU$105,0)))</f>
        <v/>
      </c>
      <c r="I100" s="15" t="str">
        <f aca="false">IF($A100="","",INDEX('AVALIAÇÃO MAPA'!$AP$6:$AP$105,MATCH($A100,'AVALIAÇÃO MAPA'!$AU$6:$AU$105,0)))</f>
        <v/>
      </c>
      <c r="J100" s="15" t="str">
        <f aca="false">IF($A100="","",INDEX('AVALIAÇÃO MAPA'!$AQ$6:$AQ$105,MATCH($A100,'AVALIAÇÃO MAPA'!$AU$6:$AU$105,0)))</f>
        <v/>
      </c>
      <c r="K100" s="15" t="str">
        <f aca="false">IF($A100="","",INDEX('AVALIAÇÃO MAPA'!$AR$6:$AR$105,MATCH($A100,'AVALIAÇÃO MAPA'!$AU$6:$AU$105,0)))</f>
        <v/>
      </c>
      <c r="L100" s="15" t="str">
        <f aca="false">IF($A100="","",INDEX('AVALIAÇÃO MAPA'!$AT$6:$AT$105,MATCH($A100,'AVALIAÇÃO MAPA'!$AU$6:$AU$105,0)))</f>
        <v/>
      </c>
      <c r="M100" s="15" t="str">
        <f aca="false">IF($A100="","",INDEX('AVALIAÇÃO MAPA'!$AW$6:$AW$105,MATCH($A100,'AVALIAÇÃO MAPA'!$AU$6:$AU$105,0)))</f>
        <v/>
      </c>
      <c r="N100" s="27" t="str">
        <f aca="false">IF($A100="","",INDEX('AVALIAÇÃO MAPA'!$BB$6:$BB$105,MATCH($A100,'AVALIAÇÃO MAPA'!$AU$6:$AU$105,0)))</f>
        <v/>
      </c>
      <c r="W100" s="32" t="n">
        <v>95</v>
      </c>
      <c r="X100" s="32" t="n">
        <f aca="false">IF(AND('AVALIAÇÃO MAPA'!AN100&lt;&gt;"",'AVALIAÇÃO MAPA'!D100=1),'AVALIAÇÃO MAPA'!AM100,-1)</f>
        <v>-1</v>
      </c>
      <c r="Y100" s="32" t="n">
        <f aca="false">IF(AND('AVALIAÇÃO MAPA'!AN100&lt;&gt;"",'AVALIAÇÃO MAPA'!D100=1),'AVALIAÇÃO MAPA'!AJ100,-1)</f>
        <v>-1</v>
      </c>
      <c r="Z100" s="32" t="str">
        <f aca="false">'AVALIAÇÃO MAPA'!AS100</f>
        <v/>
      </c>
      <c r="AA100" s="32" t="str">
        <f aca="false">'AVALIAÇÃO MAPA'!AP100</f>
        <v/>
      </c>
      <c r="AB100" s="32" t="n">
        <f aca="false">IF(Z100="Fazer primeiro",Y100,-1)</f>
        <v>-1</v>
      </c>
      <c r="AC100" s="32" t="n">
        <f aca="false">IF(Z100="Projeto estratégico",Y100,-1)</f>
        <v>-1</v>
      </c>
      <c r="AD100" s="32" t="n">
        <f aca="false">IF(Z100="Quick win",Y100,-1)</f>
        <v>-1</v>
      </c>
      <c r="AE100" s="32" t="n">
        <f aca="false">IF(Z100="Evitar",Y100,-1)</f>
        <v>-1</v>
      </c>
      <c r="AF100" s="32" t="n">
        <f aca="false">IF(AA100="SIM",Y100,-1)</f>
        <v>-1</v>
      </c>
    </row>
    <row r="101" customFormat="false" ht="15" hidden="false" customHeight="false" outlineLevel="0" collapsed="false">
      <c r="A101" s="15" t="str">
        <f aca="false">IF(COUNT('AVALIAÇÃO MAPA'!$AU$6:$AU$105)&gt;=96,96,"")</f>
        <v/>
      </c>
      <c r="B101" s="15" t="str">
        <f aca="false">IF($A101="","",INDEX('AVALIAÇÃO MAPA'!$A$6:$A$105,MATCH($A101,'AVALIAÇÃO MAPA'!$AU$6:$AU$105,0)))</f>
        <v/>
      </c>
      <c r="C101" s="18" t="str">
        <f aca="false">IF($A101="","",INDEX('AVALIAÇÃO MAPA'!$B$6:$B$105,MATCH($A101,'AVALIAÇÃO MAPA'!$AU$6:$AU$105,0)))</f>
        <v/>
      </c>
      <c r="D101" s="15" t="str">
        <f aca="false">IF($A101="","",INDEX('AVALIAÇÃO MAPA'!$C$6:$C$105,MATCH($A101,'AVALIAÇÃO MAPA'!$AU$6:$AU$105,0)))</f>
        <v/>
      </c>
      <c r="E101" s="35" t="str">
        <f aca="false">IF($A101="","",INDEX('AVALIAÇÃO MAPA'!$AN$6:$AN$105,MATCH($A101,'AVALIAÇÃO MAPA'!$AU$6:$AU$105,0)))</f>
        <v/>
      </c>
      <c r="F101" s="29" t="str">
        <f aca="false">IF($A101="","",INDEX('AVALIAÇÃO MAPA'!$AJ$6:$AJ$105,MATCH($A101,'AVALIAÇÃO MAPA'!$AU$6:$AU$105,0)))</f>
        <v/>
      </c>
      <c r="G101" s="29" t="str">
        <f aca="false">IF($A101="","",INDEX('AVALIAÇÃO MAPA'!$AM$6:$AM$105,MATCH($A101,'AVALIAÇÃO MAPA'!$AU$6:$AU$105,0)))</f>
        <v/>
      </c>
      <c r="H101" s="15" t="str">
        <f aca="false">IF($A101="","",INDEX('AVALIAÇÃO MAPA'!$AS$6:$AS$105,MATCH($A101,'AVALIAÇÃO MAPA'!$AU$6:$AU$105,0)))</f>
        <v/>
      </c>
      <c r="I101" s="15" t="str">
        <f aca="false">IF($A101="","",INDEX('AVALIAÇÃO MAPA'!$AP$6:$AP$105,MATCH($A101,'AVALIAÇÃO MAPA'!$AU$6:$AU$105,0)))</f>
        <v/>
      </c>
      <c r="J101" s="15" t="str">
        <f aca="false">IF($A101="","",INDEX('AVALIAÇÃO MAPA'!$AQ$6:$AQ$105,MATCH($A101,'AVALIAÇÃO MAPA'!$AU$6:$AU$105,0)))</f>
        <v/>
      </c>
      <c r="K101" s="15" t="str">
        <f aca="false">IF($A101="","",INDEX('AVALIAÇÃO MAPA'!$AR$6:$AR$105,MATCH($A101,'AVALIAÇÃO MAPA'!$AU$6:$AU$105,0)))</f>
        <v/>
      </c>
      <c r="L101" s="15" t="str">
        <f aca="false">IF($A101="","",INDEX('AVALIAÇÃO MAPA'!$AT$6:$AT$105,MATCH($A101,'AVALIAÇÃO MAPA'!$AU$6:$AU$105,0)))</f>
        <v/>
      </c>
      <c r="M101" s="15" t="str">
        <f aca="false">IF($A101="","",INDEX('AVALIAÇÃO MAPA'!$AW$6:$AW$105,MATCH($A101,'AVALIAÇÃO MAPA'!$AU$6:$AU$105,0)))</f>
        <v/>
      </c>
      <c r="N101" s="27" t="str">
        <f aca="false">IF($A101="","",INDEX('AVALIAÇÃO MAPA'!$BB$6:$BB$105,MATCH($A101,'AVALIAÇÃO MAPA'!$AU$6:$AU$105,0)))</f>
        <v/>
      </c>
      <c r="W101" s="32" t="n">
        <v>96</v>
      </c>
      <c r="X101" s="32" t="n">
        <f aca="false">IF(AND('AVALIAÇÃO MAPA'!AN101&lt;&gt;"",'AVALIAÇÃO MAPA'!D101=1),'AVALIAÇÃO MAPA'!AM101,-1)</f>
        <v>-1</v>
      </c>
      <c r="Y101" s="32" t="n">
        <f aca="false">IF(AND('AVALIAÇÃO MAPA'!AN101&lt;&gt;"",'AVALIAÇÃO MAPA'!D101=1),'AVALIAÇÃO MAPA'!AJ101,-1)</f>
        <v>-1</v>
      </c>
      <c r="Z101" s="32" t="str">
        <f aca="false">'AVALIAÇÃO MAPA'!AS101</f>
        <v/>
      </c>
      <c r="AA101" s="32" t="str">
        <f aca="false">'AVALIAÇÃO MAPA'!AP101</f>
        <v/>
      </c>
      <c r="AB101" s="32" t="n">
        <f aca="false">IF(Z101="Fazer primeiro",Y101,-1)</f>
        <v>-1</v>
      </c>
      <c r="AC101" s="32" t="n">
        <f aca="false">IF(Z101="Projeto estratégico",Y101,-1)</f>
        <v>-1</v>
      </c>
      <c r="AD101" s="32" t="n">
        <f aca="false">IF(Z101="Quick win",Y101,-1)</f>
        <v>-1</v>
      </c>
      <c r="AE101" s="32" t="n">
        <f aca="false">IF(Z101="Evitar",Y101,-1)</f>
        <v>-1</v>
      </c>
      <c r="AF101" s="32" t="n">
        <f aca="false">IF(AA101="SIM",Y101,-1)</f>
        <v>-1</v>
      </c>
    </row>
    <row r="102" customFormat="false" ht="15" hidden="false" customHeight="false" outlineLevel="0" collapsed="false">
      <c r="A102" s="15" t="str">
        <f aca="false">IF(COUNT('AVALIAÇÃO MAPA'!$AU$6:$AU$105)&gt;=97,97,"")</f>
        <v/>
      </c>
      <c r="B102" s="15" t="str">
        <f aca="false">IF($A102="","",INDEX('AVALIAÇÃO MAPA'!$A$6:$A$105,MATCH($A102,'AVALIAÇÃO MAPA'!$AU$6:$AU$105,0)))</f>
        <v/>
      </c>
      <c r="C102" s="18" t="str">
        <f aca="false">IF($A102="","",INDEX('AVALIAÇÃO MAPA'!$B$6:$B$105,MATCH($A102,'AVALIAÇÃO MAPA'!$AU$6:$AU$105,0)))</f>
        <v/>
      </c>
      <c r="D102" s="15" t="str">
        <f aca="false">IF($A102="","",INDEX('AVALIAÇÃO MAPA'!$C$6:$C$105,MATCH($A102,'AVALIAÇÃO MAPA'!$AU$6:$AU$105,0)))</f>
        <v/>
      </c>
      <c r="E102" s="35" t="str">
        <f aca="false">IF($A102="","",INDEX('AVALIAÇÃO MAPA'!$AN$6:$AN$105,MATCH($A102,'AVALIAÇÃO MAPA'!$AU$6:$AU$105,0)))</f>
        <v/>
      </c>
      <c r="F102" s="29" t="str">
        <f aca="false">IF($A102="","",INDEX('AVALIAÇÃO MAPA'!$AJ$6:$AJ$105,MATCH($A102,'AVALIAÇÃO MAPA'!$AU$6:$AU$105,0)))</f>
        <v/>
      </c>
      <c r="G102" s="29" t="str">
        <f aca="false">IF($A102="","",INDEX('AVALIAÇÃO MAPA'!$AM$6:$AM$105,MATCH($A102,'AVALIAÇÃO MAPA'!$AU$6:$AU$105,0)))</f>
        <v/>
      </c>
      <c r="H102" s="15" t="str">
        <f aca="false">IF($A102="","",INDEX('AVALIAÇÃO MAPA'!$AS$6:$AS$105,MATCH($A102,'AVALIAÇÃO MAPA'!$AU$6:$AU$105,0)))</f>
        <v/>
      </c>
      <c r="I102" s="15" t="str">
        <f aca="false">IF($A102="","",INDEX('AVALIAÇÃO MAPA'!$AP$6:$AP$105,MATCH($A102,'AVALIAÇÃO MAPA'!$AU$6:$AU$105,0)))</f>
        <v/>
      </c>
      <c r="J102" s="15" t="str">
        <f aca="false">IF($A102="","",INDEX('AVALIAÇÃO MAPA'!$AQ$6:$AQ$105,MATCH($A102,'AVALIAÇÃO MAPA'!$AU$6:$AU$105,0)))</f>
        <v/>
      </c>
      <c r="K102" s="15" t="str">
        <f aca="false">IF($A102="","",INDEX('AVALIAÇÃO MAPA'!$AR$6:$AR$105,MATCH($A102,'AVALIAÇÃO MAPA'!$AU$6:$AU$105,0)))</f>
        <v/>
      </c>
      <c r="L102" s="15" t="str">
        <f aca="false">IF($A102="","",INDEX('AVALIAÇÃO MAPA'!$AT$6:$AT$105,MATCH($A102,'AVALIAÇÃO MAPA'!$AU$6:$AU$105,0)))</f>
        <v/>
      </c>
      <c r="M102" s="15" t="str">
        <f aca="false">IF($A102="","",INDEX('AVALIAÇÃO MAPA'!$AW$6:$AW$105,MATCH($A102,'AVALIAÇÃO MAPA'!$AU$6:$AU$105,0)))</f>
        <v/>
      </c>
      <c r="N102" s="27" t="str">
        <f aca="false">IF($A102="","",INDEX('AVALIAÇÃO MAPA'!$BB$6:$BB$105,MATCH($A102,'AVALIAÇÃO MAPA'!$AU$6:$AU$105,0)))</f>
        <v/>
      </c>
      <c r="W102" s="32" t="n">
        <v>97</v>
      </c>
      <c r="X102" s="32" t="n">
        <f aca="false">IF(AND('AVALIAÇÃO MAPA'!AN102&lt;&gt;"",'AVALIAÇÃO MAPA'!D102=1),'AVALIAÇÃO MAPA'!AM102,-1)</f>
        <v>-1</v>
      </c>
      <c r="Y102" s="32" t="n">
        <f aca="false">IF(AND('AVALIAÇÃO MAPA'!AN102&lt;&gt;"",'AVALIAÇÃO MAPA'!D102=1),'AVALIAÇÃO MAPA'!AJ102,-1)</f>
        <v>-1</v>
      </c>
      <c r="Z102" s="32" t="str">
        <f aca="false">'AVALIAÇÃO MAPA'!AS102</f>
        <v/>
      </c>
      <c r="AA102" s="32" t="str">
        <f aca="false">'AVALIAÇÃO MAPA'!AP102</f>
        <v/>
      </c>
      <c r="AB102" s="32" t="n">
        <f aca="false">IF(Z102="Fazer primeiro",Y102,-1)</f>
        <v>-1</v>
      </c>
      <c r="AC102" s="32" t="n">
        <f aca="false">IF(Z102="Projeto estratégico",Y102,-1)</f>
        <v>-1</v>
      </c>
      <c r="AD102" s="32" t="n">
        <f aca="false">IF(Z102="Quick win",Y102,-1)</f>
        <v>-1</v>
      </c>
      <c r="AE102" s="32" t="n">
        <f aca="false">IF(Z102="Evitar",Y102,-1)</f>
        <v>-1</v>
      </c>
      <c r="AF102" s="32" t="n">
        <f aca="false">IF(AA102="SIM",Y102,-1)</f>
        <v>-1</v>
      </c>
    </row>
    <row r="103" customFormat="false" ht="15" hidden="false" customHeight="false" outlineLevel="0" collapsed="false">
      <c r="A103" s="15" t="str">
        <f aca="false">IF(COUNT('AVALIAÇÃO MAPA'!$AU$6:$AU$105)&gt;=98,98,"")</f>
        <v/>
      </c>
      <c r="B103" s="15" t="str">
        <f aca="false">IF($A103="","",INDEX('AVALIAÇÃO MAPA'!$A$6:$A$105,MATCH($A103,'AVALIAÇÃO MAPA'!$AU$6:$AU$105,0)))</f>
        <v/>
      </c>
      <c r="C103" s="18" t="str">
        <f aca="false">IF($A103="","",INDEX('AVALIAÇÃO MAPA'!$B$6:$B$105,MATCH($A103,'AVALIAÇÃO MAPA'!$AU$6:$AU$105,0)))</f>
        <v/>
      </c>
      <c r="D103" s="15" t="str">
        <f aca="false">IF($A103="","",INDEX('AVALIAÇÃO MAPA'!$C$6:$C$105,MATCH($A103,'AVALIAÇÃO MAPA'!$AU$6:$AU$105,0)))</f>
        <v/>
      </c>
      <c r="E103" s="35" t="str">
        <f aca="false">IF($A103="","",INDEX('AVALIAÇÃO MAPA'!$AN$6:$AN$105,MATCH($A103,'AVALIAÇÃO MAPA'!$AU$6:$AU$105,0)))</f>
        <v/>
      </c>
      <c r="F103" s="29" t="str">
        <f aca="false">IF($A103="","",INDEX('AVALIAÇÃO MAPA'!$AJ$6:$AJ$105,MATCH($A103,'AVALIAÇÃO MAPA'!$AU$6:$AU$105,0)))</f>
        <v/>
      </c>
      <c r="G103" s="29" t="str">
        <f aca="false">IF($A103="","",INDEX('AVALIAÇÃO MAPA'!$AM$6:$AM$105,MATCH($A103,'AVALIAÇÃO MAPA'!$AU$6:$AU$105,0)))</f>
        <v/>
      </c>
      <c r="H103" s="15" t="str">
        <f aca="false">IF($A103="","",INDEX('AVALIAÇÃO MAPA'!$AS$6:$AS$105,MATCH($A103,'AVALIAÇÃO MAPA'!$AU$6:$AU$105,0)))</f>
        <v/>
      </c>
      <c r="I103" s="15" t="str">
        <f aca="false">IF($A103="","",INDEX('AVALIAÇÃO MAPA'!$AP$6:$AP$105,MATCH($A103,'AVALIAÇÃO MAPA'!$AU$6:$AU$105,0)))</f>
        <v/>
      </c>
      <c r="J103" s="15" t="str">
        <f aca="false">IF($A103="","",INDEX('AVALIAÇÃO MAPA'!$AQ$6:$AQ$105,MATCH($A103,'AVALIAÇÃO MAPA'!$AU$6:$AU$105,0)))</f>
        <v/>
      </c>
      <c r="K103" s="15" t="str">
        <f aca="false">IF($A103="","",INDEX('AVALIAÇÃO MAPA'!$AR$6:$AR$105,MATCH($A103,'AVALIAÇÃO MAPA'!$AU$6:$AU$105,0)))</f>
        <v/>
      </c>
      <c r="L103" s="15" t="str">
        <f aca="false">IF($A103="","",INDEX('AVALIAÇÃO MAPA'!$AT$6:$AT$105,MATCH($A103,'AVALIAÇÃO MAPA'!$AU$6:$AU$105,0)))</f>
        <v/>
      </c>
      <c r="M103" s="15" t="str">
        <f aca="false">IF($A103="","",INDEX('AVALIAÇÃO MAPA'!$AW$6:$AW$105,MATCH($A103,'AVALIAÇÃO MAPA'!$AU$6:$AU$105,0)))</f>
        <v/>
      </c>
      <c r="N103" s="27" t="str">
        <f aca="false">IF($A103="","",INDEX('AVALIAÇÃO MAPA'!$BB$6:$BB$105,MATCH($A103,'AVALIAÇÃO MAPA'!$AU$6:$AU$105,0)))</f>
        <v/>
      </c>
      <c r="W103" s="32" t="n">
        <v>98</v>
      </c>
      <c r="X103" s="32" t="n">
        <f aca="false">IF(AND('AVALIAÇÃO MAPA'!AN103&lt;&gt;"",'AVALIAÇÃO MAPA'!D103=1),'AVALIAÇÃO MAPA'!AM103,-1)</f>
        <v>-1</v>
      </c>
      <c r="Y103" s="32" t="n">
        <f aca="false">IF(AND('AVALIAÇÃO MAPA'!AN103&lt;&gt;"",'AVALIAÇÃO MAPA'!D103=1),'AVALIAÇÃO MAPA'!AJ103,-1)</f>
        <v>-1</v>
      </c>
      <c r="Z103" s="32" t="str">
        <f aca="false">'AVALIAÇÃO MAPA'!AS103</f>
        <v/>
      </c>
      <c r="AA103" s="32" t="str">
        <f aca="false">'AVALIAÇÃO MAPA'!AP103</f>
        <v/>
      </c>
      <c r="AB103" s="32" t="n">
        <f aca="false">IF(Z103="Fazer primeiro",Y103,-1)</f>
        <v>-1</v>
      </c>
      <c r="AC103" s="32" t="n">
        <f aca="false">IF(Z103="Projeto estratégico",Y103,-1)</f>
        <v>-1</v>
      </c>
      <c r="AD103" s="32" t="n">
        <f aca="false">IF(Z103="Quick win",Y103,-1)</f>
        <v>-1</v>
      </c>
      <c r="AE103" s="32" t="n">
        <f aca="false">IF(Z103="Evitar",Y103,-1)</f>
        <v>-1</v>
      </c>
      <c r="AF103" s="32" t="n">
        <f aca="false">IF(AA103="SIM",Y103,-1)</f>
        <v>-1</v>
      </c>
    </row>
    <row r="104" customFormat="false" ht="15" hidden="false" customHeight="false" outlineLevel="0" collapsed="false">
      <c r="A104" s="15" t="str">
        <f aca="false">IF(COUNT('AVALIAÇÃO MAPA'!$AU$6:$AU$105)&gt;=99,99,"")</f>
        <v/>
      </c>
      <c r="B104" s="15" t="str">
        <f aca="false">IF($A104="","",INDEX('AVALIAÇÃO MAPA'!$A$6:$A$105,MATCH($A104,'AVALIAÇÃO MAPA'!$AU$6:$AU$105,0)))</f>
        <v/>
      </c>
      <c r="C104" s="18" t="str">
        <f aca="false">IF($A104="","",INDEX('AVALIAÇÃO MAPA'!$B$6:$B$105,MATCH($A104,'AVALIAÇÃO MAPA'!$AU$6:$AU$105,0)))</f>
        <v/>
      </c>
      <c r="D104" s="15" t="str">
        <f aca="false">IF($A104="","",INDEX('AVALIAÇÃO MAPA'!$C$6:$C$105,MATCH($A104,'AVALIAÇÃO MAPA'!$AU$6:$AU$105,0)))</f>
        <v/>
      </c>
      <c r="E104" s="35" t="str">
        <f aca="false">IF($A104="","",INDEX('AVALIAÇÃO MAPA'!$AN$6:$AN$105,MATCH($A104,'AVALIAÇÃO MAPA'!$AU$6:$AU$105,0)))</f>
        <v/>
      </c>
      <c r="F104" s="29" t="str">
        <f aca="false">IF($A104="","",INDEX('AVALIAÇÃO MAPA'!$AJ$6:$AJ$105,MATCH($A104,'AVALIAÇÃO MAPA'!$AU$6:$AU$105,0)))</f>
        <v/>
      </c>
      <c r="G104" s="29" t="str">
        <f aca="false">IF($A104="","",INDEX('AVALIAÇÃO MAPA'!$AM$6:$AM$105,MATCH($A104,'AVALIAÇÃO MAPA'!$AU$6:$AU$105,0)))</f>
        <v/>
      </c>
      <c r="H104" s="15" t="str">
        <f aca="false">IF($A104="","",INDEX('AVALIAÇÃO MAPA'!$AS$6:$AS$105,MATCH($A104,'AVALIAÇÃO MAPA'!$AU$6:$AU$105,0)))</f>
        <v/>
      </c>
      <c r="I104" s="15" t="str">
        <f aca="false">IF($A104="","",INDEX('AVALIAÇÃO MAPA'!$AP$6:$AP$105,MATCH($A104,'AVALIAÇÃO MAPA'!$AU$6:$AU$105,0)))</f>
        <v/>
      </c>
      <c r="J104" s="15" t="str">
        <f aca="false">IF($A104="","",INDEX('AVALIAÇÃO MAPA'!$AQ$6:$AQ$105,MATCH($A104,'AVALIAÇÃO MAPA'!$AU$6:$AU$105,0)))</f>
        <v/>
      </c>
      <c r="K104" s="15" t="str">
        <f aca="false">IF($A104="","",INDEX('AVALIAÇÃO MAPA'!$AR$6:$AR$105,MATCH($A104,'AVALIAÇÃO MAPA'!$AU$6:$AU$105,0)))</f>
        <v/>
      </c>
      <c r="L104" s="15" t="str">
        <f aca="false">IF($A104="","",INDEX('AVALIAÇÃO MAPA'!$AT$6:$AT$105,MATCH($A104,'AVALIAÇÃO MAPA'!$AU$6:$AU$105,0)))</f>
        <v/>
      </c>
      <c r="M104" s="15" t="str">
        <f aca="false">IF($A104="","",INDEX('AVALIAÇÃO MAPA'!$AW$6:$AW$105,MATCH($A104,'AVALIAÇÃO MAPA'!$AU$6:$AU$105,0)))</f>
        <v/>
      </c>
      <c r="N104" s="27" t="str">
        <f aca="false">IF($A104="","",INDEX('AVALIAÇÃO MAPA'!$BB$6:$BB$105,MATCH($A104,'AVALIAÇÃO MAPA'!$AU$6:$AU$105,0)))</f>
        <v/>
      </c>
      <c r="W104" s="32" t="n">
        <v>99</v>
      </c>
      <c r="X104" s="32" t="n">
        <f aca="false">IF(AND('AVALIAÇÃO MAPA'!AN104&lt;&gt;"",'AVALIAÇÃO MAPA'!D104=1),'AVALIAÇÃO MAPA'!AM104,-1)</f>
        <v>-1</v>
      </c>
      <c r="Y104" s="32" t="n">
        <f aca="false">IF(AND('AVALIAÇÃO MAPA'!AN104&lt;&gt;"",'AVALIAÇÃO MAPA'!D104=1),'AVALIAÇÃO MAPA'!AJ104,-1)</f>
        <v>-1</v>
      </c>
      <c r="Z104" s="32" t="str">
        <f aca="false">'AVALIAÇÃO MAPA'!AS104</f>
        <v/>
      </c>
      <c r="AA104" s="32" t="str">
        <f aca="false">'AVALIAÇÃO MAPA'!AP104</f>
        <v/>
      </c>
      <c r="AB104" s="32" t="n">
        <f aca="false">IF(Z104="Fazer primeiro",Y104,-1)</f>
        <v>-1</v>
      </c>
      <c r="AC104" s="32" t="n">
        <f aca="false">IF(Z104="Projeto estratégico",Y104,-1)</f>
        <v>-1</v>
      </c>
      <c r="AD104" s="32" t="n">
        <f aca="false">IF(Z104="Quick win",Y104,-1)</f>
        <v>-1</v>
      </c>
      <c r="AE104" s="32" t="n">
        <f aca="false">IF(Z104="Evitar",Y104,-1)</f>
        <v>-1</v>
      </c>
      <c r="AF104" s="32" t="n">
        <f aca="false">IF(AA104="SIM",Y104,-1)</f>
        <v>-1</v>
      </c>
    </row>
    <row r="105" customFormat="false" ht="15" hidden="false" customHeight="false" outlineLevel="0" collapsed="false">
      <c r="A105" s="15" t="str">
        <f aca="false">IF(COUNT('AVALIAÇÃO MAPA'!$AU$6:$AU$105)&gt;=100,100,"")</f>
        <v/>
      </c>
      <c r="B105" s="15" t="str">
        <f aca="false">IF($A105="","",INDEX('AVALIAÇÃO MAPA'!$A$6:$A$105,MATCH($A105,'AVALIAÇÃO MAPA'!$AU$6:$AU$105,0)))</f>
        <v/>
      </c>
      <c r="C105" s="18" t="str">
        <f aca="false">IF($A105="","",INDEX('AVALIAÇÃO MAPA'!$B$6:$B$105,MATCH($A105,'AVALIAÇÃO MAPA'!$AU$6:$AU$105,0)))</f>
        <v/>
      </c>
      <c r="D105" s="15" t="str">
        <f aca="false">IF($A105="","",INDEX('AVALIAÇÃO MAPA'!$C$6:$C$105,MATCH($A105,'AVALIAÇÃO MAPA'!$AU$6:$AU$105,0)))</f>
        <v/>
      </c>
      <c r="E105" s="35" t="str">
        <f aca="false">IF($A105="","",INDEX('AVALIAÇÃO MAPA'!$AN$6:$AN$105,MATCH($A105,'AVALIAÇÃO MAPA'!$AU$6:$AU$105,0)))</f>
        <v/>
      </c>
      <c r="F105" s="29" t="str">
        <f aca="false">IF($A105="","",INDEX('AVALIAÇÃO MAPA'!$AJ$6:$AJ$105,MATCH($A105,'AVALIAÇÃO MAPA'!$AU$6:$AU$105,0)))</f>
        <v/>
      </c>
      <c r="G105" s="29" t="str">
        <f aca="false">IF($A105="","",INDEX('AVALIAÇÃO MAPA'!$AM$6:$AM$105,MATCH($A105,'AVALIAÇÃO MAPA'!$AU$6:$AU$105,0)))</f>
        <v/>
      </c>
      <c r="H105" s="15" t="str">
        <f aca="false">IF($A105="","",INDEX('AVALIAÇÃO MAPA'!$AS$6:$AS$105,MATCH($A105,'AVALIAÇÃO MAPA'!$AU$6:$AU$105,0)))</f>
        <v/>
      </c>
      <c r="I105" s="15" t="str">
        <f aca="false">IF($A105="","",INDEX('AVALIAÇÃO MAPA'!$AP$6:$AP$105,MATCH($A105,'AVALIAÇÃO MAPA'!$AU$6:$AU$105,0)))</f>
        <v/>
      </c>
      <c r="J105" s="15" t="str">
        <f aca="false">IF($A105="","",INDEX('AVALIAÇÃO MAPA'!$AQ$6:$AQ$105,MATCH($A105,'AVALIAÇÃO MAPA'!$AU$6:$AU$105,0)))</f>
        <v/>
      </c>
      <c r="K105" s="15" t="str">
        <f aca="false">IF($A105="","",INDEX('AVALIAÇÃO MAPA'!$AR$6:$AR$105,MATCH($A105,'AVALIAÇÃO MAPA'!$AU$6:$AU$105,0)))</f>
        <v/>
      </c>
      <c r="L105" s="15" t="str">
        <f aca="false">IF($A105="","",INDEX('AVALIAÇÃO MAPA'!$AT$6:$AT$105,MATCH($A105,'AVALIAÇÃO MAPA'!$AU$6:$AU$105,0)))</f>
        <v/>
      </c>
      <c r="M105" s="15" t="str">
        <f aca="false">IF($A105="","",INDEX('AVALIAÇÃO MAPA'!$AW$6:$AW$105,MATCH($A105,'AVALIAÇÃO MAPA'!$AU$6:$AU$105,0)))</f>
        <v/>
      </c>
      <c r="N105" s="27" t="str">
        <f aca="false">IF($A105="","",INDEX('AVALIAÇÃO MAPA'!$BB$6:$BB$105,MATCH($A105,'AVALIAÇÃO MAPA'!$AU$6:$AU$105,0)))</f>
        <v/>
      </c>
      <c r="W105" s="32" t="n">
        <v>100</v>
      </c>
      <c r="X105" s="32" t="n">
        <f aca="false">IF(AND('AVALIAÇÃO MAPA'!AN105&lt;&gt;"",'AVALIAÇÃO MAPA'!D105=1),'AVALIAÇÃO MAPA'!AM105,-1)</f>
        <v>-1</v>
      </c>
      <c r="Y105" s="32" t="n">
        <f aca="false">IF(AND('AVALIAÇÃO MAPA'!AN105&lt;&gt;"",'AVALIAÇÃO MAPA'!D105=1),'AVALIAÇÃO MAPA'!AJ105,-1)</f>
        <v>-1</v>
      </c>
      <c r="Z105" s="32" t="str">
        <f aca="false">'AVALIAÇÃO MAPA'!AS105</f>
        <v/>
      </c>
      <c r="AA105" s="32" t="str">
        <f aca="false">'AVALIAÇÃO MAPA'!AP105</f>
        <v/>
      </c>
      <c r="AB105" s="32" t="n">
        <f aca="false">IF(Z105="Fazer primeiro",Y105,-1)</f>
        <v>-1</v>
      </c>
      <c r="AC105" s="32" t="n">
        <f aca="false">IF(Z105="Projeto estratégico",Y105,-1)</f>
        <v>-1</v>
      </c>
      <c r="AD105" s="32" t="n">
        <f aca="false">IF(Z105="Quick win",Y105,-1)</f>
        <v>-1</v>
      </c>
      <c r="AE105" s="32" t="n">
        <f aca="false">IF(Z105="Evitar",Y105,-1)</f>
        <v>-1</v>
      </c>
      <c r="AF105" s="32" t="n">
        <f aca="false">IF(AA105="SIM",Y105,-1)</f>
        <v>-1</v>
      </c>
    </row>
  </sheetData>
  <sheetProtection sheet="true" formatColumns="false" formatRow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15"/>
    <col collapsed="false" customWidth="true" hidden="false" outlineLevel="0" max="4" min="4" style="0" width="7"/>
    <col collapsed="false" customWidth="true" hidden="false" outlineLevel="0" max="5" min="5" style="0" width="9"/>
    <col collapsed="false" customWidth="true" hidden="false" outlineLevel="0" max="6" min="6" style="0" width="15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8"/>
    <col collapsed="false" customWidth="true" hidden="false" outlineLevel="0" max="11" min="11" style="0" width="15"/>
    <col collapsed="false" customWidth="true" hidden="false" outlineLevel="0" max="12" min="12" style="0" width="14"/>
    <col collapsed="false" customWidth="true" hidden="false" outlineLevel="0" max="13" min="13" style="0" width="10"/>
    <col collapsed="false" customWidth="true" hidden="false" outlineLevel="0" max="17" min="14" style="0" width="11"/>
    <col collapsed="false" customWidth="true" hidden="false" outlineLevel="0" max="18" min="18" style="0" width="8"/>
    <col collapsed="false" customWidth="true" hidden="false" outlineLevel="0" max="19" min="19" style="0" width="7"/>
    <col collapsed="false" customWidth="true" hidden="false" outlineLevel="0" max="21" min="20" style="0" width="11"/>
    <col collapsed="false" customWidth="true" hidden="false" outlineLevel="0" max="22" min="22" style="0" width="12"/>
    <col collapsed="false" customWidth="true" hidden="false" outlineLevel="0" max="23" min="23" style="0" width="26"/>
    <col collapsed="false" customWidth="true" hidden="false" outlineLevel="0" max="25" min="24" style="0" width="11"/>
    <col collapsed="false" customWidth="true" hidden="false" outlineLevel="0" max="26" min="26" style="0" width="34"/>
    <col collapsed="false" customWidth="true" hidden="false" outlineLevel="0" max="28" min="27" style="0" width="8"/>
    <col collapsed="false" customWidth="true" hidden="false" outlineLevel="0" max="30" min="29" style="0" width="6"/>
    <col collapsed="false" customWidth="true" hidden="false" outlineLevel="0" max="36" min="32" style="0" width="14"/>
  </cols>
  <sheetData>
    <row r="1" customFormat="false" ht="19.7" hidden="false" customHeight="false" outlineLevel="0" collapsed="false">
      <c r="A1" s="12" t="s">
        <v>332</v>
      </c>
    </row>
    <row r="2" customFormat="false" ht="15" hidden="false" customHeight="false" outlineLevel="0" collapsed="false">
      <c r="A2" s="2" t="s">
        <v>333</v>
      </c>
    </row>
    <row r="4" customFormat="false" ht="15" hidden="false" customHeight="false" outlineLevel="0" collapsed="false">
      <c r="E4" s="13" t="s">
        <v>56</v>
      </c>
      <c r="F4" s="13"/>
      <c r="G4" s="13"/>
      <c r="H4" s="13"/>
      <c r="I4" s="13"/>
      <c r="J4" s="13"/>
      <c r="K4" s="13"/>
      <c r="L4" s="13"/>
      <c r="M4" s="13"/>
      <c r="N4" s="13"/>
      <c r="O4" s="13" t="s">
        <v>57</v>
      </c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F4" s="4" t="s">
        <v>334</v>
      </c>
    </row>
    <row r="5" customFormat="false" ht="42" hidden="false" customHeight="true" outlineLevel="0" collapsed="false">
      <c r="A5" s="14" t="s">
        <v>58</v>
      </c>
      <c r="B5" s="14" t="s">
        <v>67</v>
      </c>
      <c r="C5" s="14" t="s">
        <v>298</v>
      </c>
      <c r="D5" s="14" t="s">
        <v>293</v>
      </c>
      <c r="E5" s="14" t="s">
        <v>335</v>
      </c>
      <c r="F5" s="14" t="s">
        <v>336</v>
      </c>
      <c r="G5" s="14" t="s">
        <v>337</v>
      </c>
      <c r="H5" s="14" t="s">
        <v>338</v>
      </c>
      <c r="I5" s="14" t="s">
        <v>339</v>
      </c>
      <c r="J5" s="14" t="s">
        <v>340</v>
      </c>
      <c r="K5" s="14" t="s">
        <v>341</v>
      </c>
      <c r="L5" s="14" t="s">
        <v>342</v>
      </c>
      <c r="M5" s="14" t="s">
        <v>343</v>
      </c>
      <c r="N5" s="14" t="s">
        <v>344</v>
      </c>
      <c r="O5" s="14" t="s">
        <v>307</v>
      </c>
      <c r="P5" s="14" t="s">
        <v>305</v>
      </c>
      <c r="Q5" s="14" t="s">
        <v>306</v>
      </c>
      <c r="R5" s="14" t="s">
        <v>345</v>
      </c>
      <c r="S5" s="14" t="s">
        <v>346</v>
      </c>
      <c r="T5" s="14" t="s">
        <v>347</v>
      </c>
      <c r="U5" s="14" t="s">
        <v>348</v>
      </c>
      <c r="V5" s="14" t="s">
        <v>349</v>
      </c>
      <c r="W5" s="14" t="s">
        <v>350</v>
      </c>
      <c r="X5" s="14" t="s">
        <v>351</v>
      </c>
      <c r="Y5" s="14" t="s">
        <v>352</v>
      </c>
      <c r="Z5" s="14" t="s">
        <v>353</v>
      </c>
      <c r="AA5" s="14" t="s">
        <v>354</v>
      </c>
      <c r="AB5" s="14" t="s">
        <v>355</v>
      </c>
      <c r="AC5" s="14" t="s">
        <v>356</v>
      </c>
      <c r="AD5" s="14" t="s">
        <v>357</v>
      </c>
      <c r="AF5" s="37" t="s">
        <v>335</v>
      </c>
      <c r="AG5" s="37" t="s">
        <v>358</v>
      </c>
      <c r="AH5" s="37" t="s">
        <v>359</v>
      </c>
      <c r="AI5" s="37" t="s">
        <v>32</v>
      </c>
      <c r="AJ5" s="37" t="s">
        <v>345</v>
      </c>
    </row>
    <row r="6" customFormat="false" ht="15" hidden="false" customHeight="false" outlineLevel="0" collapsed="false">
      <c r="A6" s="15" t="n">
        <v>1</v>
      </c>
      <c r="B6" s="18" t="str">
        <f aca="false">'AVALIAÇÃO MAPA'!B6</f>
        <v/>
      </c>
      <c r="C6" s="15" t="str">
        <f aca="false">'AVALIAÇÃO MAPA'!AS6</f>
        <v/>
      </c>
      <c r="D6" s="38" t="str">
        <f aca="false">'AVALIAÇÃO MAPA'!AN6</f>
        <v/>
      </c>
      <c r="E6" s="16"/>
      <c r="F6" s="16"/>
      <c r="G6" s="39"/>
      <c r="H6" s="24"/>
      <c r="I6" s="24"/>
      <c r="J6" s="16"/>
      <c r="K6" s="16"/>
      <c r="L6" s="16"/>
      <c r="M6" s="39"/>
      <c r="N6" s="16"/>
      <c r="O6" s="27" t="str">
        <f aca="false">'AVALIAÇÃO MAPA'!BB6</f>
        <v/>
      </c>
      <c r="P6" s="27" t="str">
        <f aca="false">'AVALIAÇÃO MAPA'!AZ6</f>
        <v/>
      </c>
      <c r="Q6" s="27" t="str">
        <f aca="false">'AVALIAÇÃO MAPA'!BA6</f>
        <v/>
      </c>
      <c r="R6" s="38" t="str">
        <f aca="false">IF('AVALIAÇÃO MAPA'!BC6="","",'AVALIAÇÃO MAPA'!BC6/12)</f>
        <v/>
      </c>
      <c r="S6" s="38" t="n">
        <f aca="false">IF(J6&lt;&gt;"",J6,Transicao_Padrao)</f>
        <v>2</v>
      </c>
      <c r="T6" s="27" t="str">
        <f aca="false">IF(O6="","",P6+IF(AND(OR(K6="Receita",K6="Contratação evitada",K6="Horas extras"),L6&lt;&gt;"",M6&lt;&gt;""),Q6,0))</f>
        <v/>
      </c>
      <c r="U6" s="40" t="str">
        <f aca="false">IF(AA6="","",IF(AA6&gt;Limite_Payback,"acima de "&amp;Limite_Payback&amp;" meses",AA6))</f>
        <v/>
      </c>
      <c r="V6" s="40" t="str">
        <f aca="false">IF(AB6="","",IF(AB6&gt;Limite_Payback,"acima de "&amp;Limite_Payback&amp;" meses",AB6))</f>
        <v/>
      </c>
      <c r="W6" s="18" t="str">
        <f aca="false">IF(T6="","",IF(T6&gt;P6,"Inclui efeito em caixa + capacidade com destino financeiro comprovável","Somente efeito em caixa"))</f>
        <v/>
      </c>
      <c r="X6" s="41" t="str">
        <f aca="false">IF(OR(O6="",E6="",E6="Fora"),"",MIN(12,S6)*((O6/12)/2-N(I6))+MAX(0,12-S6)*((O6/12)-N(I6))-N(H6))</f>
        <v/>
      </c>
      <c r="Y6" s="41" t="str">
        <f aca="false">IF(OR(O6="",E6="",E6="Fora"),"",MIN(24,S6)*((O6/12)/2-N(I6))+MAX(0,24-S6)*((O6/12)-N(I6))-N(H6))</f>
        <v/>
      </c>
      <c r="Z6" s="42" t="str">
        <f aca="false">IF(OR(E6="",E6="Fora"),"",IF(AND(E6="Onda 1",'AVALIAÇÃO MAPA'!AP6="SIM"),"Processo com trava na Onda 1. ","")&amp;IF(AND(E6="Onda 1",'AVALIAÇÃO MAPA'!AR6="SIM",AC6&lt;&gt;"P"),"Rota P sem o degrau P na simulação. ","")&amp;IF(AND(AD6=1,SUMIFS($AD$6:$AD$105,$E$6:$E$105,E6)&gt;2),"Mais de 2 projetos de automação nesta onda. ","")&amp;IF(AND(C6="Projeto estratégico",OR(N6="Protótipo",N6="Paralelo"),COUNTIFS($C$6:$C$105,"Projeto estratégico",$N$6:$N$105,"Protótipo")+COUNTIFS($C$6:$C$105,"Projeto estratégico",$N$6:$N$105,"Paralelo")&gt;1),"Mais de 1 projeto estratégico em execução. ","")&amp;IF(AND(N(Q6)&gt;0,OR(K6="",K6="Sem destino")),"Defina o destino das horas liberadas. ",""))</f>
        <v/>
      </c>
      <c r="AA6" s="43" t="str">
        <f aca="false">IF(OR(O6="",H6=""),"",IF(H6=0,0,IF(AND(((O6/12)/2-N(I6))&gt;0,H6&lt;=S6*((O6/12)/2-N(I6))),H6/((O6/12)/2-N(I6)),IF(((O6/12)-N(I6))&lt;=0,999,S6+(H6-S6*((O6/12)/2-N(I6)))/((O6/12)-N(I6))))))</f>
        <v/>
      </c>
      <c r="AB6" s="43" t="str">
        <f aca="false">IF(OR(T6="",H6=""),"",IF(H6=0,0,IF(AND(((T6/12)/2-N(I6))&gt;0,H6&lt;=S6*((T6/12)/2-N(I6))),H6/((T6/12)/2-N(I6)),IF(((T6/12)-N(I6))&lt;=0,999,S6+(H6-S6*((T6/12)/2-N(I6)))/((T6/12)-N(I6))))))</f>
        <v/>
      </c>
      <c r="AC6" s="19" t="str">
        <f aca="false">'AVALIAÇÃO MAPA'!AW6</f>
        <v/>
      </c>
      <c r="AD6" s="19" t="n">
        <f aca="false">IF(OR(AC6="A",AC6="IA"),1,0)</f>
        <v>0</v>
      </c>
      <c r="AF6" s="4" t="s">
        <v>360</v>
      </c>
      <c r="AG6" s="34" t="n">
        <f aca="false">COUNTIF($E$6:$E$105,AF6)</f>
        <v>0</v>
      </c>
      <c r="AH6" s="44" t="n">
        <f aca="false">SUMIF($E$6:$E$105,AF6,$H$6:$H$105)</f>
        <v>0</v>
      </c>
      <c r="AI6" s="44" t="n">
        <f aca="false">SUMIF($E$6:$E$105,AF6,$O$6:$O$105)</f>
        <v>0</v>
      </c>
      <c r="AJ6" s="45" t="n">
        <f aca="false">SUMIF($E$6:$E$105,AF6,$R$6:$R$105)</f>
        <v>0</v>
      </c>
    </row>
    <row r="7" customFormat="false" ht="15" hidden="false" customHeight="false" outlineLevel="0" collapsed="false">
      <c r="A7" s="15" t="n">
        <v>2</v>
      </c>
      <c r="B7" s="18" t="str">
        <f aca="false">'AVALIAÇÃO MAPA'!B7</f>
        <v/>
      </c>
      <c r="C7" s="15" t="str">
        <f aca="false">'AVALIAÇÃO MAPA'!AS7</f>
        <v/>
      </c>
      <c r="D7" s="38" t="str">
        <f aca="false">'AVALIAÇÃO MAPA'!AN7</f>
        <v/>
      </c>
      <c r="E7" s="16"/>
      <c r="F7" s="16"/>
      <c r="G7" s="39"/>
      <c r="H7" s="24"/>
      <c r="I7" s="24"/>
      <c r="J7" s="16"/>
      <c r="K7" s="16"/>
      <c r="L7" s="16"/>
      <c r="M7" s="39"/>
      <c r="N7" s="16"/>
      <c r="O7" s="27" t="str">
        <f aca="false">'AVALIAÇÃO MAPA'!BB7</f>
        <v/>
      </c>
      <c r="P7" s="27" t="str">
        <f aca="false">'AVALIAÇÃO MAPA'!AZ7</f>
        <v/>
      </c>
      <c r="Q7" s="27" t="str">
        <f aca="false">'AVALIAÇÃO MAPA'!BA7</f>
        <v/>
      </c>
      <c r="R7" s="38" t="str">
        <f aca="false">IF('AVALIAÇÃO MAPA'!BC7="","",'AVALIAÇÃO MAPA'!BC7/12)</f>
        <v/>
      </c>
      <c r="S7" s="38" t="n">
        <f aca="false">IF(J7&lt;&gt;"",J7,Transicao_Padrao)</f>
        <v>2</v>
      </c>
      <c r="T7" s="27" t="str">
        <f aca="false">IF(O7="","",P7+IF(AND(OR(K7="Receita",K7="Contratação evitada",K7="Horas extras"),L7&lt;&gt;"",M7&lt;&gt;""),Q7,0))</f>
        <v/>
      </c>
      <c r="U7" s="40" t="str">
        <f aca="false">IF(AA7="","",IF(AA7&gt;Limite_Payback,"acima de "&amp;Limite_Payback&amp;" meses",AA7))</f>
        <v/>
      </c>
      <c r="V7" s="40" t="str">
        <f aca="false">IF(AB7="","",IF(AB7&gt;Limite_Payback,"acima de "&amp;Limite_Payback&amp;" meses",AB7))</f>
        <v/>
      </c>
      <c r="W7" s="18" t="str">
        <f aca="false">IF(T7="","",IF(T7&gt;P7,"Inclui efeito em caixa + capacidade com destino financeiro comprovável","Somente efeito em caixa"))</f>
        <v/>
      </c>
      <c r="X7" s="41" t="str">
        <f aca="false">IF(OR(O7="",E7="",E7="Fora"),"",MIN(12,S7)*((O7/12)/2-N(I7))+MAX(0,12-S7)*((O7/12)-N(I7))-N(H7))</f>
        <v/>
      </c>
      <c r="Y7" s="41" t="str">
        <f aca="false">IF(OR(O7="",E7="",E7="Fora"),"",MIN(24,S7)*((O7/12)/2-N(I7))+MAX(0,24-S7)*((O7/12)-N(I7))-N(H7))</f>
        <v/>
      </c>
      <c r="Z7" s="42" t="str">
        <f aca="false">IF(OR(E7="",E7="Fora"),"",IF(AND(E7="Onda 1",'AVALIAÇÃO MAPA'!AP7="SIM"),"Processo com trava na Onda 1. ","")&amp;IF(AND(E7="Onda 1",'AVALIAÇÃO MAPA'!AR7="SIM",AC7&lt;&gt;"P"),"Rota P sem o degrau P na simulação. ","")&amp;IF(AND(AD7=1,SUMIFS($AD$6:$AD$105,$E$6:$E$105,E7)&gt;2),"Mais de 2 projetos de automação nesta onda. ","")&amp;IF(AND(C7="Projeto estratégico",OR(N7="Protótipo",N7="Paralelo"),COUNTIFS($C$6:$C$105,"Projeto estratégico",$N$6:$N$105,"Protótipo")+COUNTIFS($C$6:$C$105,"Projeto estratégico",$N$6:$N$105,"Paralelo")&gt;1),"Mais de 1 projeto estratégico em execução. ","")&amp;IF(AND(N(Q7)&gt;0,OR(K7="",K7="Sem destino")),"Defina o destino das horas liberadas. ",""))</f>
        <v/>
      </c>
      <c r="AA7" s="43" t="str">
        <f aca="false">IF(OR(O7="",H7=""),"",IF(H7=0,0,IF(AND(((O7/12)/2-N(I7))&gt;0,H7&lt;=S7*((O7/12)/2-N(I7))),H7/((O7/12)/2-N(I7)),IF(((O7/12)-N(I7))&lt;=0,999,S7+(H7-S7*((O7/12)/2-N(I7)))/((O7/12)-N(I7))))))</f>
        <v/>
      </c>
      <c r="AB7" s="43" t="str">
        <f aca="false">IF(OR(T7="",H7=""),"",IF(H7=0,0,IF(AND(((T7/12)/2-N(I7))&gt;0,H7&lt;=S7*((T7/12)/2-N(I7))),H7/((T7/12)/2-N(I7)),IF(((T7/12)-N(I7))&lt;=0,999,S7+(H7-S7*((T7/12)/2-N(I7)))/((T7/12)-N(I7))))))</f>
        <v/>
      </c>
      <c r="AC7" s="19" t="str">
        <f aca="false">'AVALIAÇÃO MAPA'!AW7</f>
        <v/>
      </c>
      <c r="AD7" s="19" t="n">
        <f aca="false">IF(OR(AC7="A",AC7="IA"),1,0)</f>
        <v>0</v>
      </c>
      <c r="AF7" s="4" t="s">
        <v>361</v>
      </c>
      <c r="AG7" s="34" t="n">
        <f aca="false">COUNTIF($E$6:$E$105,AF7)</f>
        <v>0</v>
      </c>
      <c r="AH7" s="44" t="n">
        <f aca="false">SUMIF($E$6:$E$105,AF7,$H$6:$H$105)</f>
        <v>0</v>
      </c>
      <c r="AI7" s="44" t="n">
        <f aca="false">SUMIF($E$6:$E$105,AF7,$O$6:$O$105)</f>
        <v>0</v>
      </c>
      <c r="AJ7" s="45" t="n">
        <f aca="false">SUMIF($E$6:$E$105,AF7,$R$6:$R$105)</f>
        <v>0</v>
      </c>
    </row>
    <row r="8" customFormat="false" ht="15" hidden="false" customHeight="false" outlineLevel="0" collapsed="false">
      <c r="A8" s="15" t="n">
        <v>3</v>
      </c>
      <c r="B8" s="18" t="str">
        <f aca="false">'AVALIAÇÃO MAPA'!B8</f>
        <v/>
      </c>
      <c r="C8" s="15" t="str">
        <f aca="false">'AVALIAÇÃO MAPA'!AS8</f>
        <v/>
      </c>
      <c r="D8" s="38" t="str">
        <f aca="false">'AVALIAÇÃO MAPA'!AN8</f>
        <v/>
      </c>
      <c r="E8" s="16"/>
      <c r="F8" s="16"/>
      <c r="G8" s="39"/>
      <c r="H8" s="24"/>
      <c r="I8" s="24"/>
      <c r="J8" s="16"/>
      <c r="K8" s="16"/>
      <c r="L8" s="16"/>
      <c r="M8" s="39"/>
      <c r="N8" s="16"/>
      <c r="O8" s="27" t="str">
        <f aca="false">'AVALIAÇÃO MAPA'!BB8</f>
        <v/>
      </c>
      <c r="P8" s="27" t="str">
        <f aca="false">'AVALIAÇÃO MAPA'!AZ8</f>
        <v/>
      </c>
      <c r="Q8" s="27" t="str">
        <f aca="false">'AVALIAÇÃO MAPA'!BA8</f>
        <v/>
      </c>
      <c r="R8" s="38" t="str">
        <f aca="false">IF('AVALIAÇÃO MAPA'!BC8="","",'AVALIAÇÃO MAPA'!BC8/12)</f>
        <v/>
      </c>
      <c r="S8" s="38" t="n">
        <f aca="false">IF(J8&lt;&gt;"",J8,Transicao_Padrao)</f>
        <v>2</v>
      </c>
      <c r="T8" s="27" t="str">
        <f aca="false">IF(O8="","",P8+IF(AND(OR(K8="Receita",K8="Contratação evitada",K8="Horas extras"),L8&lt;&gt;"",M8&lt;&gt;""),Q8,0))</f>
        <v/>
      </c>
      <c r="U8" s="40" t="str">
        <f aca="false">IF(AA8="","",IF(AA8&gt;Limite_Payback,"acima de "&amp;Limite_Payback&amp;" meses",AA8))</f>
        <v/>
      </c>
      <c r="V8" s="40" t="str">
        <f aca="false">IF(AB8="","",IF(AB8&gt;Limite_Payback,"acima de "&amp;Limite_Payback&amp;" meses",AB8))</f>
        <v/>
      </c>
      <c r="W8" s="18" t="str">
        <f aca="false">IF(T8="","",IF(T8&gt;P8,"Inclui efeito em caixa + capacidade com destino financeiro comprovável","Somente efeito em caixa"))</f>
        <v/>
      </c>
      <c r="X8" s="41" t="str">
        <f aca="false">IF(OR(O8="",E8="",E8="Fora"),"",MIN(12,S8)*((O8/12)/2-N(I8))+MAX(0,12-S8)*((O8/12)-N(I8))-N(H8))</f>
        <v/>
      </c>
      <c r="Y8" s="41" t="str">
        <f aca="false">IF(OR(O8="",E8="",E8="Fora"),"",MIN(24,S8)*((O8/12)/2-N(I8))+MAX(0,24-S8)*((O8/12)-N(I8))-N(H8))</f>
        <v/>
      </c>
      <c r="Z8" s="42" t="str">
        <f aca="false">IF(OR(E8="",E8="Fora"),"",IF(AND(E8="Onda 1",'AVALIAÇÃO MAPA'!AP8="SIM"),"Processo com trava na Onda 1. ","")&amp;IF(AND(E8="Onda 1",'AVALIAÇÃO MAPA'!AR8="SIM",AC8&lt;&gt;"P"),"Rota P sem o degrau P na simulação. ","")&amp;IF(AND(AD8=1,SUMIFS($AD$6:$AD$105,$E$6:$E$105,E8)&gt;2),"Mais de 2 projetos de automação nesta onda. ","")&amp;IF(AND(C8="Projeto estratégico",OR(N8="Protótipo",N8="Paralelo"),COUNTIFS($C$6:$C$105,"Projeto estratégico",$N$6:$N$105,"Protótipo")+COUNTIFS($C$6:$C$105,"Projeto estratégico",$N$6:$N$105,"Paralelo")&gt;1),"Mais de 1 projeto estratégico em execução. ","")&amp;IF(AND(N(Q8)&gt;0,OR(K8="",K8="Sem destino")),"Defina o destino das horas liberadas. ",""))</f>
        <v/>
      </c>
      <c r="AA8" s="43" t="str">
        <f aca="false">IF(OR(O8="",H8=""),"",IF(H8=0,0,IF(AND(((O8/12)/2-N(I8))&gt;0,H8&lt;=S8*((O8/12)/2-N(I8))),H8/((O8/12)/2-N(I8)),IF(((O8/12)-N(I8))&lt;=0,999,S8+(H8-S8*((O8/12)/2-N(I8)))/((O8/12)-N(I8))))))</f>
        <v/>
      </c>
      <c r="AB8" s="43" t="str">
        <f aca="false">IF(OR(T8="",H8=""),"",IF(H8=0,0,IF(AND(((T8/12)/2-N(I8))&gt;0,H8&lt;=S8*((T8/12)/2-N(I8))),H8/((T8/12)/2-N(I8)),IF(((T8/12)-N(I8))&lt;=0,999,S8+(H8-S8*((T8/12)/2-N(I8)))/((T8/12)-N(I8))))))</f>
        <v/>
      </c>
      <c r="AC8" s="19" t="str">
        <f aca="false">'AVALIAÇÃO MAPA'!AW8</f>
        <v/>
      </c>
      <c r="AD8" s="19" t="n">
        <f aca="false">IF(OR(AC8="A",AC8="IA"),1,0)</f>
        <v>0</v>
      </c>
      <c r="AF8" s="4" t="s">
        <v>362</v>
      </c>
      <c r="AG8" s="34" t="n">
        <f aca="false">COUNTIF($E$6:$E$105,AF8)</f>
        <v>0</v>
      </c>
      <c r="AH8" s="44" t="n">
        <f aca="false">SUMIF($E$6:$E$105,AF8,$H$6:$H$105)</f>
        <v>0</v>
      </c>
      <c r="AI8" s="44" t="n">
        <f aca="false">SUMIF($E$6:$E$105,AF8,$O$6:$O$105)</f>
        <v>0</v>
      </c>
      <c r="AJ8" s="45" t="n">
        <f aca="false">SUMIF($E$6:$E$105,AF8,$R$6:$R$105)</f>
        <v>0</v>
      </c>
    </row>
    <row r="9" customFormat="false" ht="15" hidden="false" customHeight="false" outlineLevel="0" collapsed="false">
      <c r="A9" s="15" t="n">
        <v>4</v>
      </c>
      <c r="B9" s="18" t="str">
        <f aca="false">'AVALIAÇÃO MAPA'!B9</f>
        <v/>
      </c>
      <c r="C9" s="15" t="str">
        <f aca="false">'AVALIAÇÃO MAPA'!AS9</f>
        <v/>
      </c>
      <c r="D9" s="38" t="str">
        <f aca="false">'AVALIAÇÃO MAPA'!AN9</f>
        <v/>
      </c>
      <c r="E9" s="16"/>
      <c r="F9" s="16"/>
      <c r="G9" s="39"/>
      <c r="H9" s="24"/>
      <c r="I9" s="24"/>
      <c r="J9" s="16"/>
      <c r="K9" s="16"/>
      <c r="L9" s="16"/>
      <c r="M9" s="39"/>
      <c r="N9" s="16"/>
      <c r="O9" s="27" t="str">
        <f aca="false">'AVALIAÇÃO MAPA'!BB9</f>
        <v/>
      </c>
      <c r="P9" s="27" t="str">
        <f aca="false">'AVALIAÇÃO MAPA'!AZ9</f>
        <v/>
      </c>
      <c r="Q9" s="27" t="str">
        <f aca="false">'AVALIAÇÃO MAPA'!BA9</f>
        <v/>
      </c>
      <c r="R9" s="38" t="str">
        <f aca="false">IF('AVALIAÇÃO MAPA'!BC9="","",'AVALIAÇÃO MAPA'!BC9/12)</f>
        <v/>
      </c>
      <c r="S9" s="38" t="n">
        <f aca="false">IF(J9&lt;&gt;"",J9,Transicao_Padrao)</f>
        <v>2</v>
      </c>
      <c r="T9" s="27" t="str">
        <f aca="false">IF(O9="","",P9+IF(AND(OR(K9="Receita",K9="Contratação evitada",K9="Horas extras"),L9&lt;&gt;"",M9&lt;&gt;""),Q9,0))</f>
        <v/>
      </c>
      <c r="U9" s="40" t="str">
        <f aca="false">IF(AA9="","",IF(AA9&gt;Limite_Payback,"acima de "&amp;Limite_Payback&amp;" meses",AA9))</f>
        <v/>
      </c>
      <c r="V9" s="40" t="str">
        <f aca="false">IF(AB9="","",IF(AB9&gt;Limite_Payback,"acima de "&amp;Limite_Payback&amp;" meses",AB9))</f>
        <v/>
      </c>
      <c r="W9" s="18" t="str">
        <f aca="false">IF(T9="","",IF(T9&gt;P9,"Inclui efeito em caixa + capacidade com destino financeiro comprovável","Somente efeito em caixa"))</f>
        <v/>
      </c>
      <c r="X9" s="41" t="str">
        <f aca="false">IF(OR(O9="",E9="",E9="Fora"),"",MIN(12,S9)*((O9/12)/2-N(I9))+MAX(0,12-S9)*((O9/12)-N(I9))-N(H9))</f>
        <v/>
      </c>
      <c r="Y9" s="41" t="str">
        <f aca="false">IF(OR(O9="",E9="",E9="Fora"),"",MIN(24,S9)*((O9/12)/2-N(I9))+MAX(0,24-S9)*((O9/12)-N(I9))-N(H9))</f>
        <v/>
      </c>
      <c r="Z9" s="42" t="str">
        <f aca="false">IF(OR(E9="",E9="Fora"),"",IF(AND(E9="Onda 1",'AVALIAÇÃO MAPA'!AP9="SIM"),"Processo com trava na Onda 1. ","")&amp;IF(AND(E9="Onda 1",'AVALIAÇÃO MAPA'!AR9="SIM",AC9&lt;&gt;"P"),"Rota P sem o degrau P na simulação. ","")&amp;IF(AND(AD9=1,SUMIFS($AD$6:$AD$105,$E$6:$E$105,E9)&gt;2),"Mais de 2 projetos de automação nesta onda. ","")&amp;IF(AND(C9="Projeto estratégico",OR(N9="Protótipo",N9="Paralelo"),COUNTIFS($C$6:$C$105,"Projeto estratégico",$N$6:$N$105,"Protótipo")+COUNTIFS($C$6:$C$105,"Projeto estratégico",$N$6:$N$105,"Paralelo")&gt;1),"Mais de 1 projeto estratégico em execução. ","")&amp;IF(AND(N(Q9)&gt;0,OR(K9="",K9="Sem destino")),"Defina o destino das horas liberadas. ",""))</f>
        <v/>
      </c>
      <c r="AA9" s="43" t="str">
        <f aca="false">IF(OR(O9="",H9=""),"",IF(H9=0,0,IF(AND(((O9/12)/2-N(I9))&gt;0,H9&lt;=S9*((O9/12)/2-N(I9))),H9/((O9/12)/2-N(I9)),IF(((O9/12)-N(I9))&lt;=0,999,S9+(H9-S9*((O9/12)/2-N(I9)))/((O9/12)-N(I9))))))</f>
        <v/>
      </c>
      <c r="AB9" s="43" t="str">
        <f aca="false">IF(OR(T9="",H9=""),"",IF(H9=0,0,IF(AND(((T9/12)/2-N(I9))&gt;0,H9&lt;=S9*((T9/12)/2-N(I9))),H9/((T9/12)/2-N(I9)),IF(((T9/12)-N(I9))&lt;=0,999,S9+(H9-S9*((T9/12)/2-N(I9)))/((T9/12)-N(I9))))))</f>
        <v/>
      </c>
      <c r="AC9" s="19" t="str">
        <f aca="false">'AVALIAÇÃO MAPA'!AW9</f>
        <v/>
      </c>
      <c r="AD9" s="19" t="n">
        <f aca="false">IF(OR(AC9="A",AC9="IA"),1,0)</f>
        <v>0</v>
      </c>
      <c r="AF9" s="4" t="s">
        <v>363</v>
      </c>
      <c r="AG9" s="34" t="n">
        <f aca="false">COUNTIF($E$6:$E$105,AF9)</f>
        <v>0</v>
      </c>
      <c r="AH9" s="44" t="n">
        <f aca="false">SUMIF($E$6:$E$105,AF9,$H$6:$H$105)</f>
        <v>0</v>
      </c>
      <c r="AI9" s="44" t="n">
        <f aca="false">SUMIF($E$6:$E$105,AF9,$O$6:$O$105)</f>
        <v>0</v>
      </c>
      <c r="AJ9" s="45" t="n">
        <f aca="false">SUMIF($E$6:$E$105,AF9,$R$6:$R$105)</f>
        <v>0</v>
      </c>
    </row>
    <row r="10" customFormat="false" ht="15" hidden="false" customHeight="false" outlineLevel="0" collapsed="false">
      <c r="A10" s="15" t="n">
        <v>5</v>
      </c>
      <c r="B10" s="18" t="str">
        <f aca="false">'AVALIAÇÃO MAPA'!B10</f>
        <v/>
      </c>
      <c r="C10" s="15" t="str">
        <f aca="false">'AVALIAÇÃO MAPA'!AS10</f>
        <v/>
      </c>
      <c r="D10" s="38" t="str">
        <f aca="false">'AVALIAÇÃO MAPA'!AN10</f>
        <v/>
      </c>
      <c r="E10" s="16"/>
      <c r="F10" s="16"/>
      <c r="G10" s="39"/>
      <c r="H10" s="24"/>
      <c r="I10" s="24"/>
      <c r="J10" s="16"/>
      <c r="K10" s="16"/>
      <c r="L10" s="16"/>
      <c r="M10" s="39"/>
      <c r="N10" s="16"/>
      <c r="O10" s="27" t="str">
        <f aca="false">'AVALIAÇÃO MAPA'!BB10</f>
        <v/>
      </c>
      <c r="P10" s="27" t="str">
        <f aca="false">'AVALIAÇÃO MAPA'!AZ10</f>
        <v/>
      </c>
      <c r="Q10" s="27" t="str">
        <f aca="false">'AVALIAÇÃO MAPA'!BA10</f>
        <v/>
      </c>
      <c r="R10" s="38" t="str">
        <f aca="false">IF('AVALIAÇÃO MAPA'!BC10="","",'AVALIAÇÃO MAPA'!BC10/12)</f>
        <v/>
      </c>
      <c r="S10" s="38" t="n">
        <f aca="false">IF(J10&lt;&gt;"",J10,Transicao_Padrao)</f>
        <v>2</v>
      </c>
      <c r="T10" s="27" t="str">
        <f aca="false">IF(O10="","",P10+IF(AND(OR(K10="Receita",K10="Contratação evitada",K10="Horas extras"),L10&lt;&gt;"",M10&lt;&gt;""),Q10,0))</f>
        <v/>
      </c>
      <c r="U10" s="40" t="str">
        <f aca="false">IF(AA10="","",IF(AA10&gt;Limite_Payback,"acima de "&amp;Limite_Payback&amp;" meses",AA10))</f>
        <v/>
      </c>
      <c r="V10" s="40" t="str">
        <f aca="false">IF(AB10="","",IF(AB10&gt;Limite_Payback,"acima de "&amp;Limite_Payback&amp;" meses",AB10))</f>
        <v/>
      </c>
      <c r="W10" s="18" t="str">
        <f aca="false">IF(T10="","",IF(T10&gt;P10,"Inclui efeito em caixa + capacidade com destino financeiro comprovável","Somente efeito em caixa"))</f>
        <v/>
      </c>
      <c r="X10" s="41" t="str">
        <f aca="false">IF(OR(O10="",E10="",E10="Fora"),"",MIN(12,S10)*((O10/12)/2-N(I10))+MAX(0,12-S10)*((O10/12)-N(I10))-N(H10))</f>
        <v/>
      </c>
      <c r="Y10" s="41" t="str">
        <f aca="false">IF(OR(O10="",E10="",E10="Fora"),"",MIN(24,S10)*((O10/12)/2-N(I10))+MAX(0,24-S10)*((O10/12)-N(I10))-N(H10))</f>
        <v/>
      </c>
      <c r="Z10" s="42" t="str">
        <f aca="false">IF(OR(E10="",E10="Fora"),"",IF(AND(E10="Onda 1",'AVALIAÇÃO MAPA'!AP10="SIM"),"Processo com trava na Onda 1. ","")&amp;IF(AND(E10="Onda 1",'AVALIAÇÃO MAPA'!AR10="SIM",AC10&lt;&gt;"P"),"Rota P sem o degrau P na simulação. ","")&amp;IF(AND(AD10=1,SUMIFS($AD$6:$AD$105,$E$6:$E$105,E10)&gt;2),"Mais de 2 projetos de automação nesta onda. ","")&amp;IF(AND(C10="Projeto estratégico",OR(N10="Protótipo",N10="Paralelo"),COUNTIFS($C$6:$C$105,"Projeto estratégico",$N$6:$N$105,"Protótipo")+COUNTIFS($C$6:$C$105,"Projeto estratégico",$N$6:$N$105,"Paralelo")&gt;1),"Mais de 1 projeto estratégico em execução. ","")&amp;IF(AND(N(Q10)&gt;0,OR(K10="",K10="Sem destino")),"Defina o destino das horas liberadas. ",""))</f>
        <v/>
      </c>
      <c r="AA10" s="43" t="str">
        <f aca="false">IF(OR(O10="",H10=""),"",IF(H10=0,0,IF(AND(((O10/12)/2-N(I10))&gt;0,H10&lt;=S10*((O10/12)/2-N(I10))),H10/((O10/12)/2-N(I10)),IF(((O10/12)-N(I10))&lt;=0,999,S10+(H10-S10*((O10/12)/2-N(I10)))/((O10/12)-N(I10))))))</f>
        <v/>
      </c>
      <c r="AB10" s="43" t="str">
        <f aca="false">IF(OR(T10="",H10=""),"",IF(H10=0,0,IF(AND(((T10/12)/2-N(I10))&gt;0,H10&lt;=S10*((T10/12)/2-N(I10))),H10/((T10/12)/2-N(I10)),IF(((T10/12)-N(I10))&lt;=0,999,S10+(H10-S10*((T10/12)/2-N(I10)))/((T10/12)-N(I10))))))</f>
        <v/>
      </c>
      <c r="AC10" s="19" t="str">
        <f aca="false">'AVALIAÇÃO MAPA'!AW10</f>
        <v/>
      </c>
      <c r="AD10" s="19" t="n">
        <f aca="false">IF(OR(AC10="A",AC10="IA"),1,0)</f>
        <v>0</v>
      </c>
    </row>
    <row r="11" customFormat="false" ht="15" hidden="false" customHeight="false" outlineLevel="0" collapsed="false">
      <c r="A11" s="15" t="n">
        <v>6</v>
      </c>
      <c r="B11" s="18" t="str">
        <f aca="false">'AVALIAÇÃO MAPA'!B11</f>
        <v/>
      </c>
      <c r="C11" s="15" t="str">
        <f aca="false">'AVALIAÇÃO MAPA'!AS11</f>
        <v/>
      </c>
      <c r="D11" s="38" t="str">
        <f aca="false">'AVALIAÇÃO MAPA'!AN11</f>
        <v/>
      </c>
      <c r="E11" s="16"/>
      <c r="F11" s="16"/>
      <c r="G11" s="39"/>
      <c r="H11" s="24"/>
      <c r="I11" s="24"/>
      <c r="J11" s="16"/>
      <c r="K11" s="16"/>
      <c r="L11" s="16"/>
      <c r="M11" s="39"/>
      <c r="N11" s="16"/>
      <c r="O11" s="27" t="str">
        <f aca="false">'AVALIAÇÃO MAPA'!BB11</f>
        <v/>
      </c>
      <c r="P11" s="27" t="str">
        <f aca="false">'AVALIAÇÃO MAPA'!AZ11</f>
        <v/>
      </c>
      <c r="Q11" s="27" t="str">
        <f aca="false">'AVALIAÇÃO MAPA'!BA11</f>
        <v/>
      </c>
      <c r="R11" s="38" t="str">
        <f aca="false">IF('AVALIAÇÃO MAPA'!BC11="","",'AVALIAÇÃO MAPA'!BC11/12)</f>
        <v/>
      </c>
      <c r="S11" s="38" t="n">
        <f aca="false">IF(J11&lt;&gt;"",J11,Transicao_Padrao)</f>
        <v>2</v>
      </c>
      <c r="T11" s="27" t="str">
        <f aca="false">IF(O11="","",P11+IF(AND(OR(K11="Receita",K11="Contratação evitada",K11="Horas extras"),L11&lt;&gt;"",M11&lt;&gt;""),Q11,0))</f>
        <v/>
      </c>
      <c r="U11" s="40" t="str">
        <f aca="false">IF(AA11="","",IF(AA11&gt;Limite_Payback,"acima de "&amp;Limite_Payback&amp;" meses",AA11))</f>
        <v/>
      </c>
      <c r="V11" s="40" t="str">
        <f aca="false">IF(AB11="","",IF(AB11&gt;Limite_Payback,"acima de "&amp;Limite_Payback&amp;" meses",AB11))</f>
        <v/>
      </c>
      <c r="W11" s="18" t="str">
        <f aca="false">IF(T11="","",IF(T11&gt;P11,"Inclui efeito em caixa + capacidade com destino financeiro comprovável","Somente efeito em caixa"))</f>
        <v/>
      </c>
      <c r="X11" s="41" t="str">
        <f aca="false">IF(OR(O11="",E11="",E11="Fora"),"",MIN(12,S11)*((O11/12)/2-N(I11))+MAX(0,12-S11)*((O11/12)-N(I11))-N(H11))</f>
        <v/>
      </c>
      <c r="Y11" s="41" t="str">
        <f aca="false">IF(OR(O11="",E11="",E11="Fora"),"",MIN(24,S11)*((O11/12)/2-N(I11))+MAX(0,24-S11)*((O11/12)-N(I11))-N(H11))</f>
        <v/>
      </c>
      <c r="Z11" s="42" t="str">
        <f aca="false">IF(OR(E11="",E11="Fora"),"",IF(AND(E11="Onda 1",'AVALIAÇÃO MAPA'!AP11="SIM"),"Processo com trava na Onda 1. ","")&amp;IF(AND(E11="Onda 1",'AVALIAÇÃO MAPA'!AR11="SIM",AC11&lt;&gt;"P"),"Rota P sem o degrau P na simulação. ","")&amp;IF(AND(AD11=1,SUMIFS($AD$6:$AD$105,$E$6:$E$105,E11)&gt;2),"Mais de 2 projetos de automação nesta onda. ","")&amp;IF(AND(C11="Projeto estratégico",OR(N11="Protótipo",N11="Paralelo"),COUNTIFS($C$6:$C$105,"Projeto estratégico",$N$6:$N$105,"Protótipo")+COUNTIFS($C$6:$C$105,"Projeto estratégico",$N$6:$N$105,"Paralelo")&gt;1),"Mais de 1 projeto estratégico em execução. ","")&amp;IF(AND(N(Q11)&gt;0,OR(K11="",K11="Sem destino")),"Defina o destino das horas liberadas. ",""))</f>
        <v/>
      </c>
      <c r="AA11" s="43" t="str">
        <f aca="false">IF(OR(O11="",H11=""),"",IF(H11=0,0,IF(AND(((O11/12)/2-N(I11))&gt;0,H11&lt;=S11*((O11/12)/2-N(I11))),H11/((O11/12)/2-N(I11)),IF(((O11/12)-N(I11))&lt;=0,999,S11+(H11-S11*((O11/12)/2-N(I11)))/((O11/12)-N(I11))))))</f>
        <v/>
      </c>
      <c r="AB11" s="43" t="str">
        <f aca="false">IF(OR(T11="",H11=""),"",IF(H11=0,0,IF(AND(((T11/12)/2-N(I11))&gt;0,H11&lt;=S11*((T11/12)/2-N(I11))),H11/((T11/12)/2-N(I11)),IF(((T11/12)-N(I11))&lt;=0,999,S11+(H11-S11*((T11/12)/2-N(I11)))/((T11/12)-N(I11))))))</f>
        <v/>
      </c>
      <c r="AC11" s="19" t="str">
        <f aca="false">'AVALIAÇÃO MAPA'!AW11</f>
        <v/>
      </c>
      <c r="AD11" s="19" t="n">
        <f aca="false">IF(OR(AC11="A",AC11="IA"),1,0)</f>
        <v>0</v>
      </c>
    </row>
    <row r="12" customFormat="false" ht="15" hidden="false" customHeight="false" outlineLevel="0" collapsed="false">
      <c r="A12" s="15" t="n">
        <v>7</v>
      </c>
      <c r="B12" s="18" t="str">
        <f aca="false">'AVALIAÇÃO MAPA'!B12</f>
        <v/>
      </c>
      <c r="C12" s="15" t="str">
        <f aca="false">'AVALIAÇÃO MAPA'!AS12</f>
        <v/>
      </c>
      <c r="D12" s="38" t="str">
        <f aca="false">'AVALIAÇÃO MAPA'!AN12</f>
        <v/>
      </c>
      <c r="E12" s="16"/>
      <c r="F12" s="16"/>
      <c r="G12" s="39"/>
      <c r="H12" s="24"/>
      <c r="I12" s="24"/>
      <c r="J12" s="16"/>
      <c r="K12" s="16"/>
      <c r="L12" s="16"/>
      <c r="M12" s="39"/>
      <c r="N12" s="16"/>
      <c r="O12" s="27" t="str">
        <f aca="false">'AVALIAÇÃO MAPA'!BB12</f>
        <v/>
      </c>
      <c r="P12" s="27" t="str">
        <f aca="false">'AVALIAÇÃO MAPA'!AZ12</f>
        <v/>
      </c>
      <c r="Q12" s="27" t="str">
        <f aca="false">'AVALIAÇÃO MAPA'!BA12</f>
        <v/>
      </c>
      <c r="R12" s="38" t="str">
        <f aca="false">IF('AVALIAÇÃO MAPA'!BC12="","",'AVALIAÇÃO MAPA'!BC12/12)</f>
        <v/>
      </c>
      <c r="S12" s="38" t="n">
        <f aca="false">IF(J12&lt;&gt;"",J12,Transicao_Padrao)</f>
        <v>2</v>
      </c>
      <c r="T12" s="27" t="str">
        <f aca="false">IF(O12="","",P12+IF(AND(OR(K12="Receita",K12="Contratação evitada",K12="Horas extras"),L12&lt;&gt;"",M12&lt;&gt;""),Q12,0))</f>
        <v/>
      </c>
      <c r="U12" s="40" t="str">
        <f aca="false">IF(AA12="","",IF(AA12&gt;Limite_Payback,"acima de "&amp;Limite_Payback&amp;" meses",AA12))</f>
        <v/>
      </c>
      <c r="V12" s="40" t="str">
        <f aca="false">IF(AB12="","",IF(AB12&gt;Limite_Payback,"acima de "&amp;Limite_Payback&amp;" meses",AB12))</f>
        <v/>
      </c>
      <c r="W12" s="18" t="str">
        <f aca="false">IF(T12="","",IF(T12&gt;P12,"Inclui efeito em caixa + capacidade com destino financeiro comprovável","Somente efeito em caixa"))</f>
        <v/>
      </c>
      <c r="X12" s="41" t="str">
        <f aca="false">IF(OR(O12="",E12="",E12="Fora"),"",MIN(12,S12)*((O12/12)/2-N(I12))+MAX(0,12-S12)*((O12/12)-N(I12))-N(H12))</f>
        <v/>
      </c>
      <c r="Y12" s="41" t="str">
        <f aca="false">IF(OR(O12="",E12="",E12="Fora"),"",MIN(24,S12)*((O12/12)/2-N(I12))+MAX(0,24-S12)*((O12/12)-N(I12))-N(H12))</f>
        <v/>
      </c>
      <c r="Z12" s="42" t="str">
        <f aca="false">IF(OR(E12="",E12="Fora"),"",IF(AND(E12="Onda 1",'AVALIAÇÃO MAPA'!AP12="SIM"),"Processo com trava na Onda 1. ","")&amp;IF(AND(E12="Onda 1",'AVALIAÇÃO MAPA'!AR12="SIM",AC12&lt;&gt;"P"),"Rota P sem o degrau P na simulação. ","")&amp;IF(AND(AD12=1,SUMIFS($AD$6:$AD$105,$E$6:$E$105,E12)&gt;2),"Mais de 2 projetos de automação nesta onda. ","")&amp;IF(AND(C12="Projeto estratégico",OR(N12="Protótipo",N12="Paralelo"),COUNTIFS($C$6:$C$105,"Projeto estratégico",$N$6:$N$105,"Protótipo")+COUNTIFS($C$6:$C$105,"Projeto estratégico",$N$6:$N$105,"Paralelo")&gt;1),"Mais de 1 projeto estratégico em execução. ","")&amp;IF(AND(N(Q12)&gt;0,OR(K12="",K12="Sem destino")),"Defina o destino das horas liberadas. ",""))</f>
        <v/>
      </c>
      <c r="AA12" s="43" t="str">
        <f aca="false">IF(OR(O12="",H12=""),"",IF(H12=0,0,IF(AND(((O12/12)/2-N(I12))&gt;0,H12&lt;=S12*((O12/12)/2-N(I12))),H12/((O12/12)/2-N(I12)),IF(((O12/12)-N(I12))&lt;=0,999,S12+(H12-S12*((O12/12)/2-N(I12)))/((O12/12)-N(I12))))))</f>
        <v/>
      </c>
      <c r="AB12" s="43" t="str">
        <f aca="false">IF(OR(T12="",H12=""),"",IF(H12=0,0,IF(AND(((T12/12)/2-N(I12))&gt;0,H12&lt;=S12*((T12/12)/2-N(I12))),H12/((T12/12)/2-N(I12)),IF(((T12/12)-N(I12))&lt;=0,999,S12+(H12-S12*((T12/12)/2-N(I12)))/((T12/12)-N(I12))))))</f>
        <v/>
      </c>
      <c r="AC12" s="19" t="str">
        <f aca="false">'AVALIAÇÃO MAPA'!AW12</f>
        <v/>
      </c>
      <c r="AD12" s="19" t="n">
        <f aca="false">IF(OR(AC12="A",AC12="IA"),1,0)</f>
        <v>0</v>
      </c>
    </row>
    <row r="13" customFormat="false" ht="15" hidden="false" customHeight="false" outlineLevel="0" collapsed="false">
      <c r="A13" s="15" t="n">
        <v>8</v>
      </c>
      <c r="B13" s="18" t="str">
        <f aca="false">'AVALIAÇÃO MAPA'!B13</f>
        <v/>
      </c>
      <c r="C13" s="15" t="str">
        <f aca="false">'AVALIAÇÃO MAPA'!AS13</f>
        <v/>
      </c>
      <c r="D13" s="38" t="str">
        <f aca="false">'AVALIAÇÃO MAPA'!AN13</f>
        <v/>
      </c>
      <c r="E13" s="16"/>
      <c r="F13" s="16"/>
      <c r="G13" s="39"/>
      <c r="H13" s="24"/>
      <c r="I13" s="24"/>
      <c r="J13" s="16"/>
      <c r="K13" s="16"/>
      <c r="L13" s="16"/>
      <c r="M13" s="39"/>
      <c r="N13" s="16"/>
      <c r="O13" s="27" t="str">
        <f aca="false">'AVALIAÇÃO MAPA'!BB13</f>
        <v/>
      </c>
      <c r="P13" s="27" t="str">
        <f aca="false">'AVALIAÇÃO MAPA'!AZ13</f>
        <v/>
      </c>
      <c r="Q13" s="27" t="str">
        <f aca="false">'AVALIAÇÃO MAPA'!BA13</f>
        <v/>
      </c>
      <c r="R13" s="38" t="str">
        <f aca="false">IF('AVALIAÇÃO MAPA'!BC13="","",'AVALIAÇÃO MAPA'!BC13/12)</f>
        <v/>
      </c>
      <c r="S13" s="38" t="n">
        <f aca="false">IF(J13&lt;&gt;"",J13,Transicao_Padrao)</f>
        <v>2</v>
      </c>
      <c r="T13" s="27" t="str">
        <f aca="false">IF(O13="","",P13+IF(AND(OR(K13="Receita",K13="Contratação evitada",K13="Horas extras"),L13&lt;&gt;"",M13&lt;&gt;""),Q13,0))</f>
        <v/>
      </c>
      <c r="U13" s="40" t="str">
        <f aca="false">IF(AA13="","",IF(AA13&gt;Limite_Payback,"acima de "&amp;Limite_Payback&amp;" meses",AA13))</f>
        <v/>
      </c>
      <c r="V13" s="40" t="str">
        <f aca="false">IF(AB13="","",IF(AB13&gt;Limite_Payback,"acima de "&amp;Limite_Payback&amp;" meses",AB13))</f>
        <v/>
      </c>
      <c r="W13" s="18" t="str">
        <f aca="false">IF(T13="","",IF(T13&gt;P13,"Inclui efeito em caixa + capacidade com destino financeiro comprovável","Somente efeito em caixa"))</f>
        <v/>
      </c>
      <c r="X13" s="41" t="str">
        <f aca="false">IF(OR(O13="",E13="",E13="Fora"),"",MIN(12,S13)*((O13/12)/2-N(I13))+MAX(0,12-S13)*((O13/12)-N(I13))-N(H13))</f>
        <v/>
      </c>
      <c r="Y13" s="41" t="str">
        <f aca="false">IF(OR(O13="",E13="",E13="Fora"),"",MIN(24,S13)*((O13/12)/2-N(I13))+MAX(0,24-S13)*((O13/12)-N(I13))-N(H13))</f>
        <v/>
      </c>
      <c r="Z13" s="42" t="str">
        <f aca="false">IF(OR(E13="",E13="Fora"),"",IF(AND(E13="Onda 1",'AVALIAÇÃO MAPA'!AP13="SIM"),"Processo com trava na Onda 1. ","")&amp;IF(AND(E13="Onda 1",'AVALIAÇÃO MAPA'!AR13="SIM",AC13&lt;&gt;"P"),"Rota P sem o degrau P na simulação. ","")&amp;IF(AND(AD13=1,SUMIFS($AD$6:$AD$105,$E$6:$E$105,E13)&gt;2),"Mais de 2 projetos de automação nesta onda. ","")&amp;IF(AND(C13="Projeto estratégico",OR(N13="Protótipo",N13="Paralelo"),COUNTIFS($C$6:$C$105,"Projeto estratégico",$N$6:$N$105,"Protótipo")+COUNTIFS($C$6:$C$105,"Projeto estratégico",$N$6:$N$105,"Paralelo")&gt;1),"Mais de 1 projeto estratégico em execução. ","")&amp;IF(AND(N(Q13)&gt;0,OR(K13="",K13="Sem destino")),"Defina o destino das horas liberadas. ",""))</f>
        <v/>
      </c>
      <c r="AA13" s="43" t="str">
        <f aca="false">IF(OR(O13="",H13=""),"",IF(H13=0,0,IF(AND(((O13/12)/2-N(I13))&gt;0,H13&lt;=S13*((O13/12)/2-N(I13))),H13/((O13/12)/2-N(I13)),IF(((O13/12)-N(I13))&lt;=0,999,S13+(H13-S13*((O13/12)/2-N(I13)))/((O13/12)-N(I13))))))</f>
        <v/>
      </c>
      <c r="AB13" s="43" t="str">
        <f aca="false">IF(OR(T13="",H13=""),"",IF(H13=0,0,IF(AND(((T13/12)/2-N(I13))&gt;0,H13&lt;=S13*((T13/12)/2-N(I13))),H13/((T13/12)/2-N(I13)),IF(((T13/12)-N(I13))&lt;=0,999,S13+(H13-S13*((T13/12)/2-N(I13)))/((T13/12)-N(I13))))))</f>
        <v/>
      </c>
      <c r="AC13" s="19" t="str">
        <f aca="false">'AVALIAÇÃO MAPA'!AW13</f>
        <v/>
      </c>
      <c r="AD13" s="19" t="n">
        <f aca="false">IF(OR(AC13="A",AC13="IA"),1,0)</f>
        <v>0</v>
      </c>
    </row>
    <row r="14" customFormat="false" ht="15" hidden="false" customHeight="false" outlineLevel="0" collapsed="false">
      <c r="A14" s="15" t="n">
        <v>9</v>
      </c>
      <c r="B14" s="18" t="str">
        <f aca="false">'AVALIAÇÃO MAPA'!B14</f>
        <v/>
      </c>
      <c r="C14" s="15" t="str">
        <f aca="false">'AVALIAÇÃO MAPA'!AS14</f>
        <v/>
      </c>
      <c r="D14" s="38" t="str">
        <f aca="false">'AVALIAÇÃO MAPA'!AN14</f>
        <v/>
      </c>
      <c r="E14" s="16"/>
      <c r="F14" s="16"/>
      <c r="G14" s="39"/>
      <c r="H14" s="24"/>
      <c r="I14" s="24"/>
      <c r="J14" s="16"/>
      <c r="K14" s="16"/>
      <c r="L14" s="16"/>
      <c r="M14" s="39"/>
      <c r="N14" s="16"/>
      <c r="O14" s="27" t="str">
        <f aca="false">'AVALIAÇÃO MAPA'!BB14</f>
        <v/>
      </c>
      <c r="P14" s="27" t="str">
        <f aca="false">'AVALIAÇÃO MAPA'!AZ14</f>
        <v/>
      </c>
      <c r="Q14" s="27" t="str">
        <f aca="false">'AVALIAÇÃO MAPA'!BA14</f>
        <v/>
      </c>
      <c r="R14" s="38" t="str">
        <f aca="false">IF('AVALIAÇÃO MAPA'!BC14="","",'AVALIAÇÃO MAPA'!BC14/12)</f>
        <v/>
      </c>
      <c r="S14" s="38" t="n">
        <f aca="false">IF(J14&lt;&gt;"",J14,Transicao_Padrao)</f>
        <v>2</v>
      </c>
      <c r="T14" s="27" t="str">
        <f aca="false">IF(O14="","",P14+IF(AND(OR(K14="Receita",K14="Contratação evitada",K14="Horas extras"),L14&lt;&gt;"",M14&lt;&gt;""),Q14,0))</f>
        <v/>
      </c>
      <c r="U14" s="40" t="str">
        <f aca="false">IF(AA14="","",IF(AA14&gt;Limite_Payback,"acima de "&amp;Limite_Payback&amp;" meses",AA14))</f>
        <v/>
      </c>
      <c r="V14" s="40" t="str">
        <f aca="false">IF(AB14="","",IF(AB14&gt;Limite_Payback,"acima de "&amp;Limite_Payback&amp;" meses",AB14))</f>
        <v/>
      </c>
      <c r="W14" s="18" t="str">
        <f aca="false">IF(T14="","",IF(T14&gt;P14,"Inclui efeito em caixa + capacidade com destino financeiro comprovável","Somente efeito em caixa"))</f>
        <v/>
      </c>
      <c r="X14" s="41" t="str">
        <f aca="false">IF(OR(O14="",E14="",E14="Fora"),"",MIN(12,S14)*((O14/12)/2-N(I14))+MAX(0,12-S14)*((O14/12)-N(I14))-N(H14))</f>
        <v/>
      </c>
      <c r="Y14" s="41" t="str">
        <f aca="false">IF(OR(O14="",E14="",E14="Fora"),"",MIN(24,S14)*((O14/12)/2-N(I14))+MAX(0,24-S14)*((O14/12)-N(I14))-N(H14))</f>
        <v/>
      </c>
      <c r="Z14" s="42" t="str">
        <f aca="false">IF(OR(E14="",E14="Fora"),"",IF(AND(E14="Onda 1",'AVALIAÇÃO MAPA'!AP14="SIM"),"Processo com trava na Onda 1. ","")&amp;IF(AND(E14="Onda 1",'AVALIAÇÃO MAPA'!AR14="SIM",AC14&lt;&gt;"P"),"Rota P sem o degrau P na simulação. ","")&amp;IF(AND(AD14=1,SUMIFS($AD$6:$AD$105,$E$6:$E$105,E14)&gt;2),"Mais de 2 projetos de automação nesta onda. ","")&amp;IF(AND(C14="Projeto estratégico",OR(N14="Protótipo",N14="Paralelo"),COUNTIFS($C$6:$C$105,"Projeto estratégico",$N$6:$N$105,"Protótipo")+COUNTIFS($C$6:$C$105,"Projeto estratégico",$N$6:$N$105,"Paralelo")&gt;1),"Mais de 1 projeto estratégico em execução. ","")&amp;IF(AND(N(Q14)&gt;0,OR(K14="",K14="Sem destino")),"Defina o destino das horas liberadas. ",""))</f>
        <v/>
      </c>
      <c r="AA14" s="43" t="str">
        <f aca="false">IF(OR(O14="",H14=""),"",IF(H14=0,0,IF(AND(((O14/12)/2-N(I14))&gt;0,H14&lt;=S14*((O14/12)/2-N(I14))),H14/((O14/12)/2-N(I14)),IF(((O14/12)-N(I14))&lt;=0,999,S14+(H14-S14*((O14/12)/2-N(I14)))/((O14/12)-N(I14))))))</f>
        <v/>
      </c>
      <c r="AB14" s="43" t="str">
        <f aca="false">IF(OR(T14="",H14=""),"",IF(H14=0,0,IF(AND(((T14/12)/2-N(I14))&gt;0,H14&lt;=S14*((T14/12)/2-N(I14))),H14/((T14/12)/2-N(I14)),IF(((T14/12)-N(I14))&lt;=0,999,S14+(H14-S14*((T14/12)/2-N(I14)))/((T14/12)-N(I14))))))</f>
        <v/>
      </c>
      <c r="AC14" s="19" t="str">
        <f aca="false">'AVALIAÇÃO MAPA'!AW14</f>
        <v/>
      </c>
      <c r="AD14" s="19" t="n">
        <f aca="false">IF(OR(AC14="A",AC14="IA"),1,0)</f>
        <v>0</v>
      </c>
    </row>
    <row r="15" customFormat="false" ht="15" hidden="false" customHeight="false" outlineLevel="0" collapsed="false">
      <c r="A15" s="15" t="n">
        <v>10</v>
      </c>
      <c r="B15" s="18" t="str">
        <f aca="false">'AVALIAÇÃO MAPA'!B15</f>
        <v/>
      </c>
      <c r="C15" s="15" t="str">
        <f aca="false">'AVALIAÇÃO MAPA'!AS15</f>
        <v/>
      </c>
      <c r="D15" s="38" t="str">
        <f aca="false">'AVALIAÇÃO MAPA'!AN15</f>
        <v/>
      </c>
      <c r="E15" s="16"/>
      <c r="F15" s="16"/>
      <c r="G15" s="39"/>
      <c r="H15" s="24"/>
      <c r="I15" s="24"/>
      <c r="J15" s="16"/>
      <c r="K15" s="16"/>
      <c r="L15" s="16"/>
      <c r="M15" s="39"/>
      <c r="N15" s="16"/>
      <c r="O15" s="27" t="str">
        <f aca="false">'AVALIAÇÃO MAPA'!BB15</f>
        <v/>
      </c>
      <c r="P15" s="27" t="str">
        <f aca="false">'AVALIAÇÃO MAPA'!AZ15</f>
        <v/>
      </c>
      <c r="Q15" s="27" t="str">
        <f aca="false">'AVALIAÇÃO MAPA'!BA15</f>
        <v/>
      </c>
      <c r="R15" s="38" t="str">
        <f aca="false">IF('AVALIAÇÃO MAPA'!BC15="","",'AVALIAÇÃO MAPA'!BC15/12)</f>
        <v/>
      </c>
      <c r="S15" s="38" t="n">
        <f aca="false">IF(J15&lt;&gt;"",J15,Transicao_Padrao)</f>
        <v>2</v>
      </c>
      <c r="T15" s="27" t="str">
        <f aca="false">IF(O15="","",P15+IF(AND(OR(K15="Receita",K15="Contratação evitada",K15="Horas extras"),L15&lt;&gt;"",M15&lt;&gt;""),Q15,0))</f>
        <v/>
      </c>
      <c r="U15" s="40" t="str">
        <f aca="false">IF(AA15="","",IF(AA15&gt;Limite_Payback,"acima de "&amp;Limite_Payback&amp;" meses",AA15))</f>
        <v/>
      </c>
      <c r="V15" s="40" t="str">
        <f aca="false">IF(AB15="","",IF(AB15&gt;Limite_Payback,"acima de "&amp;Limite_Payback&amp;" meses",AB15))</f>
        <v/>
      </c>
      <c r="W15" s="18" t="str">
        <f aca="false">IF(T15="","",IF(T15&gt;P15,"Inclui efeito em caixa + capacidade com destino financeiro comprovável","Somente efeito em caixa"))</f>
        <v/>
      </c>
      <c r="X15" s="41" t="str">
        <f aca="false">IF(OR(O15="",E15="",E15="Fora"),"",MIN(12,S15)*((O15/12)/2-N(I15))+MAX(0,12-S15)*((O15/12)-N(I15))-N(H15))</f>
        <v/>
      </c>
      <c r="Y15" s="41" t="str">
        <f aca="false">IF(OR(O15="",E15="",E15="Fora"),"",MIN(24,S15)*((O15/12)/2-N(I15))+MAX(0,24-S15)*((O15/12)-N(I15))-N(H15))</f>
        <v/>
      </c>
      <c r="Z15" s="42" t="str">
        <f aca="false">IF(OR(E15="",E15="Fora"),"",IF(AND(E15="Onda 1",'AVALIAÇÃO MAPA'!AP15="SIM"),"Processo com trava na Onda 1. ","")&amp;IF(AND(E15="Onda 1",'AVALIAÇÃO MAPA'!AR15="SIM",AC15&lt;&gt;"P"),"Rota P sem o degrau P na simulação. ","")&amp;IF(AND(AD15=1,SUMIFS($AD$6:$AD$105,$E$6:$E$105,E15)&gt;2),"Mais de 2 projetos de automação nesta onda. ","")&amp;IF(AND(C15="Projeto estratégico",OR(N15="Protótipo",N15="Paralelo"),COUNTIFS($C$6:$C$105,"Projeto estratégico",$N$6:$N$105,"Protótipo")+COUNTIFS($C$6:$C$105,"Projeto estratégico",$N$6:$N$105,"Paralelo")&gt;1),"Mais de 1 projeto estratégico em execução. ","")&amp;IF(AND(N(Q15)&gt;0,OR(K15="",K15="Sem destino")),"Defina o destino das horas liberadas. ",""))</f>
        <v/>
      </c>
      <c r="AA15" s="43" t="str">
        <f aca="false">IF(OR(O15="",H15=""),"",IF(H15=0,0,IF(AND(((O15/12)/2-N(I15))&gt;0,H15&lt;=S15*((O15/12)/2-N(I15))),H15/((O15/12)/2-N(I15)),IF(((O15/12)-N(I15))&lt;=0,999,S15+(H15-S15*((O15/12)/2-N(I15)))/((O15/12)-N(I15))))))</f>
        <v/>
      </c>
      <c r="AB15" s="43" t="str">
        <f aca="false">IF(OR(T15="",H15=""),"",IF(H15=0,0,IF(AND(((T15/12)/2-N(I15))&gt;0,H15&lt;=S15*((T15/12)/2-N(I15))),H15/((T15/12)/2-N(I15)),IF(((T15/12)-N(I15))&lt;=0,999,S15+(H15-S15*((T15/12)/2-N(I15)))/((T15/12)-N(I15))))))</f>
        <v/>
      </c>
      <c r="AC15" s="19" t="str">
        <f aca="false">'AVALIAÇÃO MAPA'!AW15</f>
        <v/>
      </c>
      <c r="AD15" s="19" t="n">
        <f aca="false">IF(OR(AC15="A",AC15="IA"),1,0)</f>
        <v>0</v>
      </c>
    </row>
    <row r="16" customFormat="false" ht="15" hidden="false" customHeight="false" outlineLevel="0" collapsed="false">
      <c r="A16" s="15" t="n">
        <v>11</v>
      </c>
      <c r="B16" s="18" t="str">
        <f aca="false">'AVALIAÇÃO MAPA'!B16</f>
        <v/>
      </c>
      <c r="C16" s="15" t="str">
        <f aca="false">'AVALIAÇÃO MAPA'!AS16</f>
        <v/>
      </c>
      <c r="D16" s="38" t="str">
        <f aca="false">'AVALIAÇÃO MAPA'!AN16</f>
        <v/>
      </c>
      <c r="E16" s="16"/>
      <c r="F16" s="16"/>
      <c r="G16" s="39"/>
      <c r="H16" s="24"/>
      <c r="I16" s="24"/>
      <c r="J16" s="16"/>
      <c r="K16" s="16"/>
      <c r="L16" s="16"/>
      <c r="M16" s="39"/>
      <c r="N16" s="16"/>
      <c r="O16" s="27" t="str">
        <f aca="false">'AVALIAÇÃO MAPA'!BB16</f>
        <v/>
      </c>
      <c r="P16" s="27" t="str">
        <f aca="false">'AVALIAÇÃO MAPA'!AZ16</f>
        <v/>
      </c>
      <c r="Q16" s="27" t="str">
        <f aca="false">'AVALIAÇÃO MAPA'!BA16</f>
        <v/>
      </c>
      <c r="R16" s="38" t="str">
        <f aca="false">IF('AVALIAÇÃO MAPA'!BC16="","",'AVALIAÇÃO MAPA'!BC16/12)</f>
        <v/>
      </c>
      <c r="S16" s="38" t="n">
        <f aca="false">IF(J16&lt;&gt;"",J16,Transicao_Padrao)</f>
        <v>2</v>
      </c>
      <c r="T16" s="27" t="str">
        <f aca="false">IF(O16="","",P16+IF(AND(OR(K16="Receita",K16="Contratação evitada",K16="Horas extras"),L16&lt;&gt;"",M16&lt;&gt;""),Q16,0))</f>
        <v/>
      </c>
      <c r="U16" s="40" t="str">
        <f aca="false">IF(AA16="","",IF(AA16&gt;Limite_Payback,"acima de "&amp;Limite_Payback&amp;" meses",AA16))</f>
        <v/>
      </c>
      <c r="V16" s="40" t="str">
        <f aca="false">IF(AB16="","",IF(AB16&gt;Limite_Payback,"acima de "&amp;Limite_Payback&amp;" meses",AB16))</f>
        <v/>
      </c>
      <c r="W16" s="18" t="str">
        <f aca="false">IF(T16="","",IF(T16&gt;P16,"Inclui efeito em caixa + capacidade com destino financeiro comprovável","Somente efeito em caixa"))</f>
        <v/>
      </c>
      <c r="X16" s="41" t="str">
        <f aca="false">IF(OR(O16="",E16="",E16="Fora"),"",MIN(12,S16)*((O16/12)/2-N(I16))+MAX(0,12-S16)*((O16/12)-N(I16))-N(H16))</f>
        <v/>
      </c>
      <c r="Y16" s="41" t="str">
        <f aca="false">IF(OR(O16="",E16="",E16="Fora"),"",MIN(24,S16)*((O16/12)/2-N(I16))+MAX(0,24-S16)*((O16/12)-N(I16))-N(H16))</f>
        <v/>
      </c>
      <c r="Z16" s="42" t="str">
        <f aca="false">IF(OR(E16="",E16="Fora"),"",IF(AND(E16="Onda 1",'AVALIAÇÃO MAPA'!AP16="SIM"),"Processo com trava na Onda 1. ","")&amp;IF(AND(E16="Onda 1",'AVALIAÇÃO MAPA'!AR16="SIM",AC16&lt;&gt;"P"),"Rota P sem o degrau P na simulação. ","")&amp;IF(AND(AD16=1,SUMIFS($AD$6:$AD$105,$E$6:$E$105,E16)&gt;2),"Mais de 2 projetos de automação nesta onda. ","")&amp;IF(AND(C16="Projeto estratégico",OR(N16="Protótipo",N16="Paralelo"),COUNTIFS($C$6:$C$105,"Projeto estratégico",$N$6:$N$105,"Protótipo")+COUNTIFS($C$6:$C$105,"Projeto estratégico",$N$6:$N$105,"Paralelo")&gt;1),"Mais de 1 projeto estratégico em execução. ","")&amp;IF(AND(N(Q16)&gt;0,OR(K16="",K16="Sem destino")),"Defina o destino das horas liberadas. ",""))</f>
        <v/>
      </c>
      <c r="AA16" s="43" t="str">
        <f aca="false">IF(OR(O16="",H16=""),"",IF(H16=0,0,IF(AND(((O16/12)/2-N(I16))&gt;0,H16&lt;=S16*((O16/12)/2-N(I16))),H16/((O16/12)/2-N(I16)),IF(((O16/12)-N(I16))&lt;=0,999,S16+(H16-S16*((O16/12)/2-N(I16)))/((O16/12)-N(I16))))))</f>
        <v/>
      </c>
      <c r="AB16" s="43" t="str">
        <f aca="false">IF(OR(T16="",H16=""),"",IF(H16=0,0,IF(AND(((T16/12)/2-N(I16))&gt;0,H16&lt;=S16*((T16/12)/2-N(I16))),H16/((T16/12)/2-N(I16)),IF(((T16/12)-N(I16))&lt;=0,999,S16+(H16-S16*((T16/12)/2-N(I16)))/((T16/12)-N(I16))))))</f>
        <v/>
      </c>
      <c r="AC16" s="19" t="str">
        <f aca="false">'AVALIAÇÃO MAPA'!AW16</f>
        <v/>
      </c>
      <c r="AD16" s="19" t="n">
        <f aca="false">IF(OR(AC16="A",AC16="IA"),1,0)</f>
        <v>0</v>
      </c>
    </row>
    <row r="17" customFormat="false" ht="15" hidden="false" customHeight="false" outlineLevel="0" collapsed="false">
      <c r="A17" s="15" t="n">
        <v>12</v>
      </c>
      <c r="B17" s="18" t="str">
        <f aca="false">'AVALIAÇÃO MAPA'!B17</f>
        <v/>
      </c>
      <c r="C17" s="15" t="str">
        <f aca="false">'AVALIAÇÃO MAPA'!AS17</f>
        <v/>
      </c>
      <c r="D17" s="38" t="str">
        <f aca="false">'AVALIAÇÃO MAPA'!AN17</f>
        <v/>
      </c>
      <c r="E17" s="16"/>
      <c r="F17" s="16"/>
      <c r="G17" s="39"/>
      <c r="H17" s="24"/>
      <c r="I17" s="24"/>
      <c r="J17" s="16"/>
      <c r="K17" s="16"/>
      <c r="L17" s="16"/>
      <c r="M17" s="39"/>
      <c r="N17" s="16"/>
      <c r="O17" s="27" t="str">
        <f aca="false">'AVALIAÇÃO MAPA'!BB17</f>
        <v/>
      </c>
      <c r="P17" s="27" t="str">
        <f aca="false">'AVALIAÇÃO MAPA'!AZ17</f>
        <v/>
      </c>
      <c r="Q17" s="27" t="str">
        <f aca="false">'AVALIAÇÃO MAPA'!BA17</f>
        <v/>
      </c>
      <c r="R17" s="38" t="str">
        <f aca="false">IF('AVALIAÇÃO MAPA'!BC17="","",'AVALIAÇÃO MAPA'!BC17/12)</f>
        <v/>
      </c>
      <c r="S17" s="38" t="n">
        <f aca="false">IF(J17&lt;&gt;"",J17,Transicao_Padrao)</f>
        <v>2</v>
      </c>
      <c r="T17" s="27" t="str">
        <f aca="false">IF(O17="","",P17+IF(AND(OR(K17="Receita",K17="Contratação evitada",K17="Horas extras"),L17&lt;&gt;"",M17&lt;&gt;""),Q17,0))</f>
        <v/>
      </c>
      <c r="U17" s="40" t="str">
        <f aca="false">IF(AA17="","",IF(AA17&gt;Limite_Payback,"acima de "&amp;Limite_Payback&amp;" meses",AA17))</f>
        <v/>
      </c>
      <c r="V17" s="40" t="str">
        <f aca="false">IF(AB17="","",IF(AB17&gt;Limite_Payback,"acima de "&amp;Limite_Payback&amp;" meses",AB17))</f>
        <v/>
      </c>
      <c r="W17" s="18" t="str">
        <f aca="false">IF(T17="","",IF(T17&gt;P17,"Inclui efeito em caixa + capacidade com destino financeiro comprovável","Somente efeito em caixa"))</f>
        <v/>
      </c>
      <c r="X17" s="41" t="str">
        <f aca="false">IF(OR(O17="",E17="",E17="Fora"),"",MIN(12,S17)*((O17/12)/2-N(I17))+MAX(0,12-S17)*((O17/12)-N(I17))-N(H17))</f>
        <v/>
      </c>
      <c r="Y17" s="41" t="str">
        <f aca="false">IF(OR(O17="",E17="",E17="Fora"),"",MIN(24,S17)*((O17/12)/2-N(I17))+MAX(0,24-S17)*((O17/12)-N(I17))-N(H17))</f>
        <v/>
      </c>
      <c r="Z17" s="42" t="str">
        <f aca="false">IF(OR(E17="",E17="Fora"),"",IF(AND(E17="Onda 1",'AVALIAÇÃO MAPA'!AP17="SIM"),"Processo com trava na Onda 1. ","")&amp;IF(AND(E17="Onda 1",'AVALIAÇÃO MAPA'!AR17="SIM",AC17&lt;&gt;"P"),"Rota P sem o degrau P na simulação. ","")&amp;IF(AND(AD17=1,SUMIFS($AD$6:$AD$105,$E$6:$E$105,E17)&gt;2),"Mais de 2 projetos de automação nesta onda. ","")&amp;IF(AND(C17="Projeto estratégico",OR(N17="Protótipo",N17="Paralelo"),COUNTIFS($C$6:$C$105,"Projeto estratégico",$N$6:$N$105,"Protótipo")+COUNTIFS($C$6:$C$105,"Projeto estratégico",$N$6:$N$105,"Paralelo")&gt;1),"Mais de 1 projeto estratégico em execução. ","")&amp;IF(AND(N(Q17)&gt;0,OR(K17="",K17="Sem destino")),"Defina o destino das horas liberadas. ",""))</f>
        <v/>
      </c>
      <c r="AA17" s="43" t="str">
        <f aca="false">IF(OR(O17="",H17=""),"",IF(H17=0,0,IF(AND(((O17/12)/2-N(I17))&gt;0,H17&lt;=S17*((O17/12)/2-N(I17))),H17/((O17/12)/2-N(I17)),IF(((O17/12)-N(I17))&lt;=0,999,S17+(H17-S17*((O17/12)/2-N(I17)))/((O17/12)-N(I17))))))</f>
        <v/>
      </c>
      <c r="AB17" s="43" t="str">
        <f aca="false">IF(OR(T17="",H17=""),"",IF(H17=0,0,IF(AND(((T17/12)/2-N(I17))&gt;0,H17&lt;=S17*((T17/12)/2-N(I17))),H17/((T17/12)/2-N(I17)),IF(((T17/12)-N(I17))&lt;=0,999,S17+(H17-S17*((T17/12)/2-N(I17)))/((T17/12)-N(I17))))))</f>
        <v/>
      </c>
      <c r="AC17" s="19" t="str">
        <f aca="false">'AVALIAÇÃO MAPA'!AW17</f>
        <v/>
      </c>
      <c r="AD17" s="19" t="n">
        <f aca="false">IF(OR(AC17="A",AC17="IA"),1,0)</f>
        <v>0</v>
      </c>
    </row>
    <row r="18" customFormat="false" ht="15" hidden="false" customHeight="false" outlineLevel="0" collapsed="false">
      <c r="A18" s="15" t="n">
        <v>13</v>
      </c>
      <c r="B18" s="18" t="str">
        <f aca="false">'AVALIAÇÃO MAPA'!B18</f>
        <v/>
      </c>
      <c r="C18" s="15" t="str">
        <f aca="false">'AVALIAÇÃO MAPA'!AS18</f>
        <v/>
      </c>
      <c r="D18" s="38" t="str">
        <f aca="false">'AVALIAÇÃO MAPA'!AN18</f>
        <v/>
      </c>
      <c r="E18" s="16"/>
      <c r="F18" s="16"/>
      <c r="G18" s="39"/>
      <c r="H18" s="24"/>
      <c r="I18" s="24"/>
      <c r="J18" s="16"/>
      <c r="K18" s="16"/>
      <c r="L18" s="16"/>
      <c r="M18" s="39"/>
      <c r="N18" s="16"/>
      <c r="O18" s="27" t="str">
        <f aca="false">'AVALIAÇÃO MAPA'!BB18</f>
        <v/>
      </c>
      <c r="P18" s="27" t="str">
        <f aca="false">'AVALIAÇÃO MAPA'!AZ18</f>
        <v/>
      </c>
      <c r="Q18" s="27" t="str">
        <f aca="false">'AVALIAÇÃO MAPA'!BA18</f>
        <v/>
      </c>
      <c r="R18" s="38" t="str">
        <f aca="false">IF('AVALIAÇÃO MAPA'!BC18="","",'AVALIAÇÃO MAPA'!BC18/12)</f>
        <v/>
      </c>
      <c r="S18" s="38" t="n">
        <f aca="false">IF(J18&lt;&gt;"",J18,Transicao_Padrao)</f>
        <v>2</v>
      </c>
      <c r="T18" s="27" t="str">
        <f aca="false">IF(O18="","",P18+IF(AND(OR(K18="Receita",K18="Contratação evitada",K18="Horas extras"),L18&lt;&gt;"",M18&lt;&gt;""),Q18,0))</f>
        <v/>
      </c>
      <c r="U18" s="40" t="str">
        <f aca="false">IF(AA18="","",IF(AA18&gt;Limite_Payback,"acima de "&amp;Limite_Payback&amp;" meses",AA18))</f>
        <v/>
      </c>
      <c r="V18" s="40" t="str">
        <f aca="false">IF(AB18="","",IF(AB18&gt;Limite_Payback,"acima de "&amp;Limite_Payback&amp;" meses",AB18))</f>
        <v/>
      </c>
      <c r="W18" s="18" t="str">
        <f aca="false">IF(T18="","",IF(T18&gt;P18,"Inclui efeito em caixa + capacidade com destino financeiro comprovável","Somente efeito em caixa"))</f>
        <v/>
      </c>
      <c r="X18" s="41" t="str">
        <f aca="false">IF(OR(O18="",E18="",E18="Fora"),"",MIN(12,S18)*((O18/12)/2-N(I18))+MAX(0,12-S18)*((O18/12)-N(I18))-N(H18))</f>
        <v/>
      </c>
      <c r="Y18" s="41" t="str">
        <f aca="false">IF(OR(O18="",E18="",E18="Fora"),"",MIN(24,S18)*((O18/12)/2-N(I18))+MAX(0,24-S18)*((O18/12)-N(I18))-N(H18))</f>
        <v/>
      </c>
      <c r="Z18" s="42" t="str">
        <f aca="false">IF(OR(E18="",E18="Fora"),"",IF(AND(E18="Onda 1",'AVALIAÇÃO MAPA'!AP18="SIM"),"Processo com trava na Onda 1. ","")&amp;IF(AND(E18="Onda 1",'AVALIAÇÃO MAPA'!AR18="SIM",AC18&lt;&gt;"P"),"Rota P sem o degrau P na simulação. ","")&amp;IF(AND(AD18=1,SUMIFS($AD$6:$AD$105,$E$6:$E$105,E18)&gt;2),"Mais de 2 projetos de automação nesta onda. ","")&amp;IF(AND(C18="Projeto estratégico",OR(N18="Protótipo",N18="Paralelo"),COUNTIFS($C$6:$C$105,"Projeto estratégico",$N$6:$N$105,"Protótipo")+COUNTIFS($C$6:$C$105,"Projeto estratégico",$N$6:$N$105,"Paralelo")&gt;1),"Mais de 1 projeto estratégico em execução. ","")&amp;IF(AND(N(Q18)&gt;0,OR(K18="",K18="Sem destino")),"Defina o destino das horas liberadas. ",""))</f>
        <v/>
      </c>
      <c r="AA18" s="43" t="str">
        <f aca="false">IF(OR(O18="",H18=""),"",IF(H18=0,0,IF(AND(((O18/12)/2-N(I18))&gt;0,H18&lt;=S18*((O18/12)/2-N(I18))),H18/((O18/12)/2-N(I18)),IF(((O18/12)-N(I18))&lt;=0,999,S18+(H18-S18*((O18/12)/2-N(I18)))/((O18/12)-N(I18))))))</f>
        <v/>
      </c>
      <c r="AB18" s="43" t="str">
        <f aca="false">IF(OR(T18="",H18=""),"",IF(H18=0,0,IF(AND(((T18/12)/2-N(I18))&gt;0,H18&lt;=S18*((T18/12)/2-N(I18))),H18/((T18/12)/2-N(I18)),IF(((T18/12)-N(I18))&lt;=0,999,S18+(H18-S18*((T18/12)/2-N(I18)))/((T18/12)-N(I18))))))</f>
        <v/>
      </c>
      <c r="AC18" s="19" t="str">
        <f aca="false">'AVALIAÇÃO MAPA'!AW18</f>
        <v/>
      </c>
      <c r="AD18" s="19" t="n">
        <f aca="false">IF(OR(AC18="A",AC18="IA"),1,0)</f>
        <v>0</v>
      </c>
    </row>
    <row r="19" customFormat="false" ht="15" hidden="false" customHeight="false" outlineLevel="0" collapsed="false">
      <c r="A19" s="15" t="n">
        <v>14</v>
      </c>
      <c r="B19" s="18" t="str">
        <f aca="false">'AVALIAÇÃO MAPA'!B19</f>
        <v/>
      </c>
      <c r="C19" s="15" t="str">
        <f aca="false">'AVALIAÇÃO MAPA'!AS19</f>
        <v/>
      </c>
      <c r="D19" s="38" t="str">
        <f aca="false">'AVALIAÇÃO MAPA'!AN19</f>
        <v/>
      </c>
      <c r="E19" s="16"/>
      <c r="F19" s="16"/>
      <c r="G19" s="39"/>
      <c r="H19" s="24"/>
      <c r="I19" s="24"/>
      <c r="J19" s="16"/>
      <c r="K19" s="16"/>
      <c r="L19" s="16"/>
      <c r="M19" s="39"/>
      <c r="N19" s="16"/>
      <c r="O19" s="27" t="str">
        <f aca="false">'AVALIAÇÃO MAPA'!BB19</f>
        <v/>
      </c>
      <c r="P19" s="27" t="str">
        <f aca="false">'AVALIAÇÃO MAPA'!AZ19</f>
        <v/>
      </c>
      <c r="Q19" s="27" t="str">
        <f aca="false">'AVALIAÇÃO MAPA'!BA19</f>
        <v/>
      </c>
      <c r="R19" s="38" t="str">
        <f aca="false">IF('AVALIAÇÃO MAPA'!BC19="","",'AVALIAÇÃO MAPA'!BC19/12)</f>
        <v/>
      </c>
      <c r="S19" s="38" t="n">
        <f aca="false">IF(J19&lt;&gt;"",J19,Transicao_Padrao)</f>
        <v>2</v>
      </c>
      <c r="T19" s="27" t="str">
        <f aca="false">IF(O19="","",P19+IF(AND(OR(K19="Receita",K19="Contratação evitada",K19="Horas extras"),L19&lt;&gt;"",M19&lt;&gt;""),Q19,0))</f>
        <v/>
      </c>
      <c r="U19" s="40" t="str">
        <f aca="false">IF(AA19="","",IF(AA19&gt;Limite_Payback,"acima de "&amp;Limite_Payback&amp;" meses",AA19))</f>
        <v/>
      </c>
      <c r="V19" s="40" t="str">
        <f aca="false">IF(AB19="","",IF(AB19&gt;Limite_Payback,"acima de "&amp;Limite_Payback&amp;" meses",AB19))</f>
        <v/>
      </c>
      <c r="W19" s="18" t="str">
        <f aca="false">IF(T19="","",IF(T19&gt;P19,"Inclui efeito em caixa + capacidade com destino financeiro comprovável","Somente efeito em caixa"))</f>
        <v/>
      </c>
      <c r="X19" s="41" t="str">
        <f aca="false">IF(OR(O19="",E19="",E19="Fora"),"",MIN(12,S19)*((O19/12)/2-N(I19))+MAX(0,12-S19)*((O19/12)-N(I19))-N(H19))</f>
        <v/>
      </c>
      <c r="Y19" s="41" t="str">
        <f aca="false">IF(OR(O19="",E19="",E19="Fora"),"",MIN(24,S19)*((O19/12)/2-N(I19))+MAX(0,24-S19)*((O19/12)-N(I19))-N(H19))</f>
        <v/>
      </c>
      <c r="Z19" s="42" t="str">
        <f aca="false">IF(OR(E19="",E19="Fora"),"",IF(AND(E19="Onda 1",'AVALIAÇÃO MAPA'!AP19="SIM"),"Processo com trava na Onda 1. ","")&amp;IF(AND(E19="Onda 1",'AVALIAÇÃO MAPA'!AR19="SIM",AC19&lt;&gt;"P"),"Rota P sem o degrau P na simulação. ","")&amp;IF(AND(AD19=1,SUMIFS($AD$6:$AD$105,$E$6:$E$105,E19)&gt;2),"Mais de 2 projetos de automação nesta onda. ","")&amp;IF(AND(C19="Projeto estratégico",OR(N19="Protótipo",N19="Paralelo"),COUNTIFS($C$6:$C$105,"Projeto estratégico",$N$6:$N$105,"Protótipo")+COUNTIFS($C$6:$C$105,"Projeto estratégico",$N$6:$N$105,"Paralelo")&gt;1),"Mais de 1 projeto estratégico em execução. ","")&amp;IF(AND(N(Q19)&gt;0,OR(K19="",K19="Sem destino")),"Defina o destino das horas liberadas. ",""))</f>
        <v/>
      </c>
      <c r="AA19" s="43" t="str">
        <f aca="false">IF(OR(O19="",H19=""),"",IF(H19=0,0,IF(AND(((O19/12)/2-N(I19))&gt;0,H19&lt;=S19*((O19/12)/2-N(I19))),H19/((O19/12)/2-N(I19)),IF(((O19/12)-N(I19))&lt;=0,999,S19+(H19-S19*((O19/12)/2-N(I19)))/((O19/12)-N(I19))))))</f>
        <v/>
      </c>
      <c r="AB19" s="43" t="str">
        <f aca="false">IF(OR(T19="",H19=""),"",IF(H19=0,0,IF(AND(((T19/12)/2-N(I19))&gt;0,H19&lt;=S19*((T19/12)/2-N(I19))),H19/((T19/12)/2-N(I19)),IF(((T19/12)-N(I19))&lt;=0,999,S19+(H19-S19*((T19/12)/2-N(I19)))/((T19/12)-N(I19))))))</f>
        <v/>
      </c>
      <c r="AC19" s="19" t="str">
        <f aca="false">'AVALIAÇÃO MAPA'!AW19</f>
        <v/>
      </c>
      <c r="AD19" s="19" t="n">
        <f aca="false">IF(OR(AC19="A",AC19="IA"),1,0)</f>
        <v>0</v>
      </c>
    </row>
    <row r="20" customFormat="false" ht="15" hidden="false" customHeight="false" outlineLevel="0" collapsed="false">
      <c r="A20" s="15" t="n">
        <v>15</v>
      </c>
      <c r="B20" s="18" t="str">
        <f aca="false">'AVALIAÇÃO MAPA'!B20</f>
        <v/>
      </c>
      <c r="C20" s="15" t="str">
        <f aca="false">'AVALIAÇÃO MAPA'!AS20</f>
        <v/>
      </c>
      <c r="D20" s="38" t="str">
        <f aca="false">'AVALIAÇÃO MAPA'!AN20</f>
        <v/>
      </c>
      <c r="E20" s="16"/>
      <c r="F20" s="16"/>
      <c r="G20" s="39"/>
      <c r="H20" s="24"/>
      <c r="I20" s="24"/>
      <c r="J20" s="16"/>
      <c r="K20" s="16"/>
      <c r="L20" s="16"/>
      <c r="M20" s="39"/>
      <c r="N20" s="16"/>
      <c r="O20" s="27" t="str">
        <f aca="false">'AVALIAÇÃO MAPA'!BB20</f>
        <v/>
      </c>
      <c r="P20" s="27" t="str">
        <f aca="false">'AVALIAÇÃO MAPA'!AZ20</f>
        <v/>
      </c>
      <c r="Q20" s="27" t="str">
        <f aca="false">'AVALIAÇÃO MAPA'!BA20</f>
        <v/>
      </c>
      <c r="R20" s="38" t="str">
        <f aca="false">IF('AVALIAÇÃO MAPA'!BC20="","",'AVALIAÇÃO MAPA'!BC20/12)</f>
        <v/>
      </c>
      <c r="S20" s="38" t="n">
        <f aca="false">IF(J20&lt;&gt;"",J20,Transicao_Padrao)</f>
        <v>2</v>
      </c>
      <c r="T20" s="27" t="str">
        <f aca="false">IF(O20="","",P20+IF(AND(OR(K20="Receita",K20="Contratação evitada",K20="Horas extras"),L20&lt;&gt;"",M20&lt;&gt;""),Q20,0))</f>
        <v/>
      </c>
      <c r="U20" s="40" t="str">
        <f aca="false">IF(AA20="","",IF(AA20&gt;Limite_Payback,"acima de "&amp;Limite_Payback&amp;" meses",AA20))</f>
        <v/>
      </c>
      <c r="V20" s="40" t="str">
        <f aca="false">IF(AB20="","",IF(AB20&gt;Limite_Payback,"acima de "&amp;Limite_Payback&amp;" meses",AB20))</f>
        <v/>
      </c>
      <c r="W20" s="18" t="str">
        <f aca="false">IF(T20="","",IF(T20&gt;P20,"Inclui efeito em caixa + capacidade com destino financeiro comprovável","Somente efeito em caixa"))</f>
        <v/>
      </c>
      <c r="X20" s="41" t="str">
        <f aca="false">IF(OR(O20="",E20="",E20="Fora"),"",MIN(12,S20)*((O20/12)/2-N(I20))+MAX(0,12-S20)*((O20/12)-N(I20))-N(H20))</f>
        <v/>
      </c>
      <c r="Y20" s="41" t="str">
        <f aca="false">IF(OR(O20="",E20="",E20="Fora"),"",MIN(24,S20)*((O20/12)/2-N(I20))+MAX(0,24-S20)*((O20/12)-N(I20))-N(H20))</f>
        <v/>
      </c>
      <c r="Z20" s="42" t="str">
        <f aca="false">IF(OR(E20="",E20="Fora"),"",IF(AND(E20="Onda 1",'AVALIAÇÃO MAPA'!AP20="SIM"),"Processo com trava na Onda 1. ","")&amp;IF(AND(E20="Onda 1",'AVALIAÇÃO MAPA'!AR20="SIM",AC20&lt;&gt;"P"),"Rota P sem o degrau P na simulação. ","")&amp;IF(AND(AD20=1,SUMIFS($AD$6:$AD$105,$E$6:$E$105,E20)&gt;2),"Mais de 2 projetos de automação nesta onda. ","")&amp;IF(AND(C20="Projeto estratégico",OR(N20="Protótipo",N20="Paralelo"),COUNTIFS($C$6:$C$105,"Projeto estratégico",$N$6:$N$105,"Protótipo")+COUNTIFS($C$6:$C$105,"Projeto estratégico",$N$6:$N$105,"Paralelo")&gt;1),"Mais de 1 projeto estratégico em execução. ","")&amp;IF(AND(N(Q20)&gt;0,OR(K20="",K20="Sem destino")),"Defina o destino das horas liberadas. ",""))</f>
        <v/>
      </c>
      <c r="AA20" s="43" t="str">
        <f aca="false">IF(OR(O20="",H20=""),"",IF(H20=0,0,IF(AND(((O20/12)/2-N(I20))&gt;0,H20&lt;=S20*((O20/12)/2-N(I20))),H20/((O20/12)/2-N(I20)),IF(((O20/12)-N(I20))&lt;=0,999,S20+(H20-S20*((O20/12)/2-N(I20)))/((O20/12)-N(I20))))))</f>
        <v/>
      </c>
      <c r="AB20" s="43" t="str">
        <f aca="false">IF(OR(T20="",H20=""),"",IF(H20=0,0,IF(AND(((T20/12)/2-N(I20))&gt;0,H20&lt;=S20*((T20/12)/2-N(I20))),H20/((T20/12)/2-N(I20)),IF(((T20/12)-N(I20))&lt;=0,999,S20+(H20-S20*((T20/12)/2-N(I20)))/((T20/12)-N(I20))))))</f>
        <v/>
      </c>
      <c r="AC20" s="19" t="str">
        <f aca="false">'AVALIAÇÃO MAPA'!AW20</f>
        <v/>
      </c>
      <c r="AD20" s="19" t="n">
        <f aca="false">IF(OR(AC20="A",AC20="IA"),1,0)</f>
        <v>0</v>
      </c>
    </row>
    <row r="21" customFormat="false" ht="15" hidden="false" customHeight="false" outlineLevel="0" collapsed="false">
      <c r="A21" s="15" t="n">
        <v>16</v>
      </c>
      <c r="B21" s="18" t="str">
        <f aca="false">'AVALIAÇÃO MAPA'!B21</f>
        <v/>
      </c>
      <c r="C21" s="15" t="str">
        <f aca="false">'AVALIAÇÃO MAPA'!AS21</f>
        <v/>
      </c>
      <c r="D21" s="38" t="str">
        <f aca="false">'AVALIAÇÃO MAPA'!AN21</f>
        <v/>
      </c>
      <c r="E21" s="16"/>
      <c r="F21" s="16"/>
      <c r="G21" s="39"/>
      <c r="H21" s="24"/>
      <c r="I21" s="24"/>
      <c r="J21" s="16"/>
      <c r="K21" s="16"/>
      <c r="L21" s="16"/>
      <c r="M21" s="39"/>
      <c r="N21" s="16"/>
      <c r="O21" s="27" t="str">
        <f aca="false">'AVALIAÇÃO MAPA'!BB21</f>
        <v/>
      </c>
      <c r="P21" s="27" t="str">
        <f aca="false">'AVALIAÇÃO MAPA'!AZ21</f>
        <v/>
      </c>
      <c r="Q21" s="27" t="str">
        <f aca="false">'AVALIAÇÃO MAPA'!BA21</f>
        <v/>
      </c>
      <c r="R21" s="38" t="str">
        <f aca="false">IF('AVALIAÇÃO MAPA'!BC21="","",'AVALIAÇÃO MAPA'!BC21/12)</f>
        <v/>
      </c>
      <c r="S21" s="38" t="n">
        <f aca="false">IF(J21&lt;&gt;"",J21,Transicao_Padrao)</f>
        <v>2</v>
      </c>
      <c r="T21" s="27" t="str">
        <f aca="false">IF(O21="","",P21+IF(AND(OR(K21="Receita",K21="Contratação evitada",K21="Horas extras"),L21&lt;&gt;"",M21&lt;&gt;""),Q21,0))</f>
        <v/>
      </c>
      <c r="U21" s="40" t="str">
        <f aca="false">IF(AA21="","",IF(AA21&gt;Limite_Payback,"acima de "&amp;Limite_Payback&amp;" meses",AA21))</f>
        <v/>
      </c>
      <c r="V21" s="40" t="str">
        <f aca="false">IF(AB21="","",IF(AB21&gt;Limite_Payback,"acima de "&amp;Limite_Payback&amp;" meses",AB21))</f>
        <v/>
      </c>
      <c r="W21" s="18" t="str">
        <f aca="false">IF(T21="","",IF(T21&gt;P21,"Inclui efeito em caixa + capacidade com destino financeiro comprovável","Somente efeito em caixa"))</f>
        <v/>
      </c>
      <c r="X21" s="41" t="str">
        <f aca="false">IF(OR(O21="",E21="",E21="Fora"),"",MIN(12,S21)*((O21/12)/2-N(I21))+MAX(0,12-S21)*((O21/12)-N(I21))-N(H21))</f>
        <v/>
      </c>
      <c r="Y21" s="41" t="str">
        <f aca="false">IF(OR(O21="",E21="",E21="Fora"),"",MIN(24,S21)*((O21/12)/2-N(I21))+MAX(0,24-S21)*((O21/12)-N(I21))-N(H21))</f>
        <v/>
      </c>
      <c r="Z21" s="42" t="str">
        <f aca="false">IF(OR(E21="",E21="Fora"),"",IF(AND(E21="Onda 1",'AVALIAÇÃO MAPA'!AP21="SIM"),"Processo com trava na Onda 1. ","")&amp;IF(AND(E21="Onda 1",'AVALIAÇÃO MAPA'!AR21="SIM",AC21&lt;&gt;"P"),"Rota P sem o degrau P na simulação. ","")&amp;IF(AND(AD21=1,SUMIFS($AD$6:$AD$105,$E$6:$E$105,E21)&gt;2),"Mais de 2 projetos de automação nesta onda. ","")&amp;IF(AND(C21="Projeto estratégico",OR(N21="Protótipo",N21="Paralelo"),COUNTIFS($C$6:$C$105,"Projeto estratégico",$N$6:$N$105,"Protótipo")+COUNTIFS($C$6:$C$105,"Projeto estratégico",$N$6:$N$105,"Paralelo")&gt;1),"Mais de 1 projeto estratégico em execução. ","")&amp;IF(AND(N(Q21)&gt;0,OR(K21="",K21="Sem destino")),"Defina o destino das horas liberadas. ",""))</f>
        <v/>
      </c>
      <c r="AA21" s="43" t="str">
        <f aca="false">IF(OR(O21="",H21=""),"",IF(H21=0,0,IF(AND(((O21/12)/2-N(I21))&gt;0,H21&lt;=S21*((O21/12)/2-N(I21))),H21/((O21/12)/2-N(I21)),IF(((O21/12)-N(I21))&lt;=0,999,S21+(H21-S21*((O21/12)/2-N(I21)))/((O21/12)-N(I21))))))</f>
        <v/>
      </c>
      <c r="AB21" s="43" t="str">
        <f aca="false">IF(OR(T21="",H21=""),"",IF(H21=0,0,IF(AND(((T21/12)/2-N(I21))&gt;0,H21&lt;=S21*((T21/12)/2-N(I21))),H21/((T21/12)/2-N(I21)),IF(((T21/12)-N(I21))&lt;=0,999,S21+(H21-S21*((T21/12)/2-N(I21)))/((T21/12)-N(I21))))))</f>
        <v/>
      </c>
      <c r="AC21" s="19" t="str">
        <f aca="false">'AVALIAÇÃO MAPA'!AW21</f>
        <v/>
      </c>
      <c r="AD21" s="19" t="n">
        <f aca="false">IF(OR(AC21="A",AC21="IA"),1,0)</f>
        <v>0</v>
      </c>
    </row>
    <row r="22" customFormat="false" ht="15" hidden="false" customHeight="false" outlineLevel="0" collapsed="false">
      <c r="A22" s="15" t="n">
        <v>17</v>
      </c>
      <c r="B22" s="18" t="str">
        <f aca="false">'AVALIAÇÃO MAPA'!B22</f>
        <v/>
      </c>
      <c r="C22" s="15" t="str">
        <f aca="false">'AVALIAÇÃO MAPA'!AS22</f>
        <v/>
      </c>
      <c r="D22" s="38" t="str">
        <f aca="false">'AVALIAÇÃO MAPA'!AN22</f>
        <v/>
      </c>
      <c r="E22" s="16"/>
      <c r="F22" s="16"/>
      <c r="G22" s="39"/>
      <c r="H22" s="24"/>
      <c r="I22" s="24"/>
      <c r="J22" s="16"/>
      <c r="K22" s="16"/>
      <c r="L22" s="16"/>
      <c r="M22" s="39"/>
      <c r="N22" s="16"/>
      <c r="O22" s="27" t="str">
        <f aca="false">'AVALIAÇÃO MAPA'!BB22</f>
        <v/>
      </c>
      <c r="P22" s="27" t="str">
        <f aca="false">'AVALIAÇÃO MAPA'!AZ22</f>
        <v/>
      </c>
      <c r="Q22" s="27" t="str">
        <f aca="false">'AVALIAÇÃO MAPA'!BA22</f>
        <v/>
      </c>
      <c r="R22" s="38" t="str">
        <f aca="false">IF('AVALIAÇÃO MAPA'!BC22="","",'AVALIAÇÃO MAPA'!BC22/12)</f>
        <v/>
      </c>
      <c r="S22" s="38" t="n">
        <f aca="false">IF(J22&lt;&gt;"",J22,Transicao_Padrao)</f>
        <v>2</v>
      </c>
      <c r="T22" s="27" t="str">
        <f aca="false">IF(O22="","",P22+IF(AND(OR(K22="Receita",K22="Contratação evitada",K22="Horas extras"),L22&lt;&gt;"",M22&lt;&gt;""),Q22,0))</f>
        <v/>
      </c>
      <c r="U22" s="40" t="str">
        <f aca="false">IF(AA22="","",IF(AA22&gt;Limite_Payback,"acima de "&amp;Limite_Payback&amp;" meses",AA22))</f>
        <v/>
      </c>
      <c r="V22" s="40" t="str">
        <f aca="false">IF(AB22="","",IF(AB22&gt;Limite_Payback,"acima de "&amp;Limite_Payback&amp;" meses",AB22))</f>
        <v/>
      </c>
      <c r="W22" s="18" t="str">
        <f aca="false">IF(T22="","",IF(T22&gt;P22,"Inclui efeito em caixa + capacidade com destino financeiro comprovável","Somente efeito em caixa"))</f>
        <v/>
      </c>
      <c r="X22" s="41" t="str">
        <f aca="false">IF(OR(O22="",E22="",E22="Fora"),"",MIN(12,S22)*((O22/12)/2-N(I22))+MAX(0,12-S22)*((O22/12)-N(I22))-N(H22))</f>
        <v/>
      </c>
      <c r="Y22" s="41" t="str">
        <f aca="false">IF(OR(O22="",E22="",E22="Fora"),"",MIN(24,S22)*((O22/12)/2-N(I22))+MAX(0,24-S22)*((O22/12)-N(I22))-N(H22))</f>
        <v/>
      </c>
      <c r="Z22" s="42" t="str">
        <f aca="false">IF(OR(E22="",E22="Fora"),"",IF(AND(E22="Onda 1",'AVALIAÇÃO MAPA'!AP22="SIM"),"Processo com trava na Onda 1. ","")&amp;IF(AND(E22="Onda 1",'AVALIAÇÃO MAPA'!AR22="SIM",AC22&lt;&gt;"P"),"Rota P sem o degrau P na simulação. ","")&amp;IF(AND(AD22=1,SUMIFS($AD$6:$AD$105,$E$6:$E$105,E22)&gt;2),"Mais de 2 projetos de automação nesta onda. ","")&amp;IF(AND(C22="Projeto estratégico",OR(N22="Protótipo",N22="Paralelo"),COUNTIFS($C$6:$C$105,"Projeto estratégico",$N$6:$N$105,"Protótipo")+COUNTIFS($C$6:$C$105,"Projeto estratégico",$N$6:$N$105,"Paralelo")&gt;1),"Mais de 1 projeto estratégico em execução. ","")&amp;IF(AND(N(Q22)&gt;0,OR(K22="",K22="Sem destino")),"Defina o destino das horas liberadas. ",""))</f>
        <v/>
      </c>
      <c r="AA22" s="43" t="str">
        <f aca="false">IF(OR(O22="",H22=""),"",IF(H22=0,0,IF(AND(((O22/12)/2-N(I22))&gt;0,H22&lt;=S22*((O22/12)/2-N(I22))),H22/((O22/12)/2-N(I22)),IF(((O22/12)-N(I22))&lt;=0,999,S22+(H22-S22*((O22/12)/2-N(I22)))/((O22/12)-N(I22))))))</f>
        <v/>
      </c>
      <c r="AB22" s="43" t="str">
        <f aca="false">IF(OR(T22="",H22=""),"",IF(H22=0,0,IF(AND(((T22/12)/2-N(I22))&gt;0,H22&lt;=S22*((T22/12)/2-N(I22))),H22/((T22/12)/2-N(I22)),IF(((T22/12)-N(I22))&lt;=0,999,S22+(H22-S22*((T22/12)/2-N(I22)))/((T22/12)-N(I22))))))</f>
        <v/>
      </c>
      <c r="AC22" s="19" t="str">
        <f aca="false">'AVALIAÇÃO MAPA'!AW22</f>
        <v/>
      </c>
      <c r="AD22" s="19" t="n">
        <f aca="false">IF(OR(AC22="A",AC22="IA"),1,0)</f>
        <v>0</v>
      </c>
    </row>
    <row r="23" customFormat="false" ht="15" hidden="false" customHeight="false" outlineLevel="0" collapsed="false">
      <c r="A23" s="15" t="n">
        <v>18</v>
      </c>
      <c r="B23" s="18" t="str">
        <f aca="false">'AVALIAÇÃO MAPA'!B23</f>
        <v/>
      </c>
      <c r="C23" s="15" t="str">
        <f aca="false">'AVALIAÇÃO MAPA'!AS23</f>
        <v/>
      </c>
      <c r="D23" s="38" t="str">
        <f aca="false">'AVALIAÇÃO MAPA'!AN23</f>
        <v/>
      </c>
      <c r="E23" s="16"/>
      <c r="F23" s="16"/>
      <c r="G23" s="39"/>
      <c r="H23" s="24"/>
      <c r="I23" s="24"/>
      <c r="J23" s="16"/>
      <c r="K23" s="16"/>
      <c r="L23" s="16"/>
      <c r="M23" s="39"/>
      <c r="N23" s="16"/>
      <c r="O23" s="27" t="str">
        <f aca="false">'AVALIAÇÃO MAPA'!BB23</f>
        <v/>
      </c>
      <c r="P23" s="27" t="str">
        <f aca="false">'AVALIAÇÃO MAPA'!AZ23</f>
        <v/>
      </c>
      <c r="Q23" s="27" t="str">
        <f aca="false">'AVALIAÇÃO MAPA'!BA23</f>
        <v/>
      </c>
      <c r="R23" s="38" t="str">
        <f aca="false">IF('AVALIAÇÃO MAPA'!BC23="","",'AVALIAÇÃO MAPA'!BC23/12)</f>
        <v/>
      </c>
      <c r="S23" s="38" t="n">
        <f aca="false">IF(J23&lt;&gt;"",J23,Transicao_Padrao)</f>
        <v>2</v>
      </c>
      <c r="T23" s="27" t="str">
        <f aca="false">IF(O23="","",P23+IF(AND(OR(K23="Receita",K23="Contratação evitada",K23="Horas extras"),L23&lt;&gt;"",M23&lt;&gt;""),Q23,0))</f>
        <v/>
      </c>
      <c r="U23" s="40" t="str">
        <f aca="false">IF(AA23="","",IF(AA23&gt;Limite_Payback,"acima de "&amp;Limite_Payback&amp;" meses",AA23))</f>
        <v/>
      </c>
      <c r="V23" s="40" t="str">
        <f aca="false">IF(AB23="","",IF(AB23&gt;Limite_Payback,"acima de "&amp;Limite_Payback&amp;" meses",AB23))</f>
        <v/>
      </c>
      <c r="W23" s="18" t="str">
        <f aca="false">IF(T23="","",IF(T23&gt;P23,"Inclui efeito em caixa + capacidade com destino financeiro comprovável","Somente efeito em caixa"))</f>
        <v/>
      </c>
      <c r="X23" s="41" t="str">
        <f aca="false">IF(OR(O23="",E23="",E23="Fora"),"",MIN(12,S23)*((O23/12)/2-N(I23))+MAX(0,12-S23)*((O23/12)-N(I23))-N(H23))</f>
        <v/>
      </c>
      <c r="Y23" s="41" t="str">
        <f aca="false">IF(OR(O23="",E23="",E23="Fora"),"",MIN(24,S23)*((O23/12)/2-N(I23))+MAX(0,24-S23)*((O23/12)-N(I23))-N(H23))</f>
        <v/>
      </c>
      <c r="Z23" s="42" t="str">
        <f aca="false">IF(OR(E23="",E23="Fora"),"",IF(AND(E23="Onda 1",'AVALIAÇÃO MAPA'!AP23="SIM"),"Processo com trava na Onda 1. ","")&amp;IF(AND(E23="Onda 1",'AVALIAÇÃO MAPA'!AR23="SIM",AC23&lt;&gt;"P"),"Rota P sem o degrau P na simulação. ","")&amp;IF(AND(AD23=1,SUMIFS($AD$6:$AD$105,$E$6:$E$105,E23)&gt;2),"Mais de 2 projetos de automação nesta onda. ","")&amp;IF(AND(C23="Projeto estratégico",OR(N23="Protótipo",N23="Paralelo"),COUNTIFS($C$6:$C$105,"Projeto estratégico",$N$6:$N$105,"Protótipo")+COUNTIFS($C$6:$C$105,"Projeto estratégico",$N$6:$N$105,"Paralelo")&gt;1),"Mais de 1 projeto estratégico em execução. ","")&amp;IF(AND(N(Q23)&gt;0,OR(K23="",K23="Sem destino")),"Defina o destino das horas liberadas. ",""))</f>
        <v/>
      </c>
      <c r="AA23" s="43" t="str">
        <f aca="false">IF(OR(O23="",H23=""),"",IF(H23=0,0,IF(AND(((O23/12)/2-N(I23))&gt;0,H23&lt;=S23*((O23/12)/2-N(I23))),H23/((O23/12)/2-N(I23)),IF(((O23/12)-N(I23))&lt;=0,999,S23+(H23-S23*((O23/12)/2-N(I23)))/((O23/12)-N(I23))))))</f>
        <v/>
      </c>
      <c r="AB23" s="43" t="str">
        <f aca="false">IF(OR(T23="",H23=""),"",IF(H23=0,0,IF(AND(((T23/12)/2-N(I23))&gt;0,H23&lt;=S23*((T23/12)/2-N(I23))),H23/((T23/12)/2-N(I23)),IF(((T23/12)-N(I23))&lt;=0,999,S23+(H23-S23*((T23/12)/2-N(I23)))/((T23/12)-N(I23))))))</f>
        <v/>
      </c>
      <c r="AC23" s="19" t="str">
        <f aca="false">'AVALIAÇÃO MAPA'!AW23</f>
        <v/>
      </c>
      <c r="AD23" s="19" t="n">
        <f aca="false">IF(OR(AC23="A",AC23="IA"),1,0)</f>
        <v>0</v>
      </c>
    </row>
    <row r="24" customFormat="false" ht="15" hidden="false" customHeight="false" outlineLevel="0" collapsed="false">
      <c r="A24" s="15" t="n">
        <v>19</v>
      </c>
      <c r="B24" s="18" t="str">
        <f aca="false">'AVALIAÇÃO MAPA'!B24</f>
        <v/>
      </c>
      <c r="C24" s="15" t="str">
        <f aca="false">'AVALIAÇÃO MAPA'!AS24</f>
        <v/>
      </c>
      <c r="D24" s="38" t="str">
        <f aca="false">'AVALIAÇÃO MAPA'!AN24</f>
        <v/>
      </c>
      <c r="E24" s="16"/>
      <c r="F24" s="16"/>
      <c r="G24" s="39"/>
      <c r="H24" s="24"/>
      <c r="I24" s="24"/>
      <c r="J24" s="16"/>
      <c r="K24" s="16"/>
      <c r="L24" s="16"/>
      <c r="M24" s="39"/>
      <c r="N24" s="16"/>
      <c r="O24" s="27" t="str">
        <f aca="false">'AVALIAÇÃO MAPA'!BB24</f>
        <v/>
      </c>
      <c r="P24" s="27" t="str">
        <f aca="false">'AVALIAÇÃO MAPA'!AZ24</f>
        <v/>
      </c>
      <c r="Q24" s="27" t="str">
        <f aca="false">'AVALIAÇÃO MAPA'!BA24</f>
        <v/>
      </c>
      <c r="R24" s="38" t="str">
        <f aca="false">IF('AVALIAÇÃO MAPA'!BC24="","",'AVALIAÇÃO MAPA'!BC24/12)</f>
        <v/>
      </c>
      <c r="S24" s="38" t="n">
        <f aca="false">IF(J24&lt;&gt;"",J24,Transicao_Padrao)</f>
        <v>2</v>
      </c>
      <c r="T24" s="27" t="str">
        <f aca="false">IF(O24="","",P24+IF(AND(OR(K24="Receita",K24="Contratação evitada",K24="Horas extras"),L24&lt;&gt;"",M24&lt;&gt;""),Q24,0))</f>
        <v/>
      </c>
      <c r="U24" s="40" t="str">
        <f aca="false">IF(AA24="","",IF(AA24&gt;Limite_Payback,"acima de "&amp;Limite_Payback&amp;" meses",AA24))</f>
        <v/>
      </c>
      <c r="V24" s="40" t="str">
        <f aca="false">IF(AB24="","",IF(AB24&gt;Limite_Payback,"acima de "&amp;Limite_Payback&amp;" meses",AB24))</f>
        <v/>
      </c>
      <c r="W24" s="18" t="str">
        <f aca="false">IF(T24="","",IF(T24&gt;P24,"Inclui efeito em caixa + capacidade com destino financeiro comprovável","Somente efeito em caixa"))</f>
        <v/>
      </c>
      <c r="X24" s="41" t="str">
        <f aca="false">IF(OR(O24="",E24="",E24="Fora"),"",MIN(12,S24)*((O24/12)/2-N(I24))+MAX(0,12-S24)*((O24/12)-N(I24))-N(H24))</f>
        <v/>
      </c>
      <c r="Y24" s="41" t="str">
        <f aca="false">IF(OR(O24="",E24="",E24="Fora"),"",MIN(24,S24)*((O24/12)/2-N(I24))+MAX(0,24-S24)*((O24/12)-N(I24))-N(H24))</f>
        <v/>
      </c>
      <c r="Z24" s="42" t="str">
        <f aca="false">IF(OR(E24="",E24="Fora"),"",IF(AND(E24="Onda 1",'AVALIAÇÃO MAPA'!AP24="SIM"),"Processo com trava na Onda 1. ","")&amp;IF(AND(E24="Onda 1",'AVALIAÇÃO MAPA'!AR24="SIM",AC24&lt;&gt;"P"),"Rota P sem o degrau P na simulação. ","")&amp;IF(AND(AD24=1,SUMIFS($AD$6:$AD$105,$E$6:$E$105,E24)&gt;2),"Mais de 2 projetos de automação nesta onda. ","")&amp;IF(AND(C24="Projeto estratégico",OR(N24="Protótipo",N24="Paralelo"),COUNTIFS($C$6:$C$105,"Projeto estratégico",$N$6:$N$105,"Protótipo")+COUNTIFS($C$6:$C$105,"Projeto estratégico",$N$6:$N$105,"Paralelo")&gt;1),"Mais de 1 projeto estratégico em execução. ","")&amp;IF(AND(N(Q24)&gt;0,OR(K24="",K24="Sem destino")),"Defina o destino das horas liberadas. ",""))</f>
        <v/>
      </c>
      <c r="AA24" s="43" t="str">
        <f aca="false">IF(OR(O24="",H24=""),"",IF(H24=0,0,IF(AND(((O24/12)/2-N(I24))&gt;0,H24&lt;=S24*((O24/12)/2-N(I24))),H24/((O24/12)/2-N(I24)),IF(((O24/12)-N(I24))&lt;=0,999,S24+(H24-S24*((O24/12)/2-N(I24)))/((O24/12)-N(I24))))))</f>
        <v/>
      </c>
      <c r="AB24" s="43" t="str">
        <f aca="false">IF(OR(T24="",H24=""),"",IF(H24=0,0,IF(AND(((T24/12)/2-N(I24))&gt;0,H24&lt;=S24*((T24/12)/2-N(I24))),H24/((T24/12)/2-N(I24)),IF(((T24/12)-N(I24))&lt;=0,999,S24+(H24-S24*((T24/12)/2-N(I24)))/((T24/12)-N(I24))))))</f>
        <v/>
      </c>
      <c r="AC24" s="19" t="str">
        <f aca="false">'AVALIAÇÃO MAPA'!AW24</f>
        <v/>
      </c>
      <c r="AD24" s="19" t="n">
        <f aca="false">IF(OR(AC24="A",AC24="IA"),1,0)</f>
        <v>0</v>
      </c>
    </row>
    <row r="25" customFormat="false" ht="15" hidden="false" customHeight="false" outlineLevel="0" collapsed="false">
      <c r="A25" s="15" t="n">
        <v>20</v>
      </c>
      <c r="B25" s="18" t="str">
        <f aca="false">'AVALIAÇÃO MAPA'!B25</f>
        <v/>
      </c>
      <c r="C25" s="15" t="str">
        <f aca="false">'AVALIAÇÃO MAPA'!AS25</f>
        <v/>
      </c>
      <c r="D25" s="38" t="str">
        <f aca="false">'AVALIAÇÃO MAPA'!AN25</f>
        <v/>
      </c>
      <c r="E25" s="16"/>
      <c r="F25" s="16"/>
      <c r="G25" s="39"/>
      <c r="H25" s="24"/>
      <c r="I25" s="24"/>
      <c r="J25" s="16"/>
      <c r="K25" s="16"/>
      <c r="L25" s="16"/>
      <c r="M25" s="39"/>
      <c r="N25" s="16"/>
      <c r="O25" s="27" t="str">
        <f aca="false">'AVALIAÇÃO MAPA'!BB25</f>
        <v/>
      </c>
      <c r="P25" s="27" t="str">
        <f aca="false">'AVALIAÇÃO MAPA'!AZ25</f>
        <v/>
      </c>
      <c r="Q25" s="27" t="str">
        <f aca="false">'AVALIAÇÃO MAPA'!BA25</f>
        <v/>
      </c>
      <c r="R25" s="38" t="str">
        <f aca="false">IF('AVALIAÇÃO MAPA'!BC25="","",'AVALIAÇÃO MAPA'!BC25/12)</f>
        <v/>
      </c>
      <c r="S25" s="38" t="n">
        <f aca="false">IF(J25&lt;&gt;"",J25,Transicao_Padrao)</f>
        <v>2</v>
      </c>
      <c r="T25" s="27" t="str">
        <f aca="false">IF(O25="","",P25+IF(AND(OR(K25="Receita",K25="Contratação evitada",K25="Horas extras"),L25&lt;&gt;"",M25&lt;&gt;""),Q25,0))</f>
        <v/>
      </c>
      <c r="U25" s="40" t="str">
        <f aca="false">IF(AA25="","",IF(AA25&gt;Limite_Payback,"acima de "&amp;Limite_Payback&amp;" meses",AA25))</f>
        <v/>
      </c>
      <c r="V25" s="40" t="str">
        <f aca="false">IF(AB25="","",IF(AB25&gt;Limite_Payback,"acima de "&amp;Limite_Payback&amp;" meses",AB25))</f>
        <v/>
      </c>
      <c r="W25" s="18" t="str">
        <f aca="false">IF(T25="","",IF(T25&gt;P25,"Inclui efeito em caixa + capacidade com destino financeiro comprovável","Somente efeito em caixa"))</f>
        <v/>
      </c>
      <c r="X25" s="41" t="str">
        <f aca="false">IF(OR(O25="",E25="",E25="Fora"),"",MIN(12,S25)*((O25/12)/2-N(I25))+MAX(0,12-S25)*((O25/12)-N(I25))-N(H25))</f>
        <v/>
      </c>
      <c r="Y25" s="41" t="str">
        <f aca="false">IF(OR(O25="",E25="",E25="Fora"),"",MIN(24,S25)*((O25/12)/2-N(I25))+MAX(0,24-S25)*((O25/12)-N(I25))-N(H25))</f>
        <v/>
      </c>
      <c r="Z25" s="42" t="str">
        <f aca="false">IF(OR(E25="",E25="Fora"),"",IF(AND(E25="Onda 1",'AVALIAÇÃO MAPA'!AP25="SIM"),"Processo com trava na Onda 1. ","")&amp;IF(AND(E25="Onda 1",'AVALIAÇÃO MAPA'!AR25="SIM",AC25&lt;&gt;"P"),"Rota P sem o degrau P na simulação. ","")&amp;IF(AND(AD25=1,SUMIFS($AD$6:$AD$105,$E$6:$E$105,E25)&gt;2),"Mais de 2 projetos de automação nesta onda. ","")&amp;IF(AND(C25="Projeto estratégico",OR(N25="Protótipo",N25="Paralelo"),COUNTIFS($C$6:$C$105,"Projeto estratégico",$N$6:$N$105,"Protótipo")+COUNTIFS($C$6:$C$105,"Projeto estratégico",$N$6:$N$105,"Paralelo")&gt;1),"Mais de 1 projeto estratégico em execução. ","")&amp;IF(AND(N(Q25)&gt;0,OR(K25="",K25="Sem destino")),"Defina o destino das horas liberadas. ",""))</f>
        <v/>
      </c>
      <c r="AA25" s="43" t="str">
        <f aca="false">IF(OR(O25="",H25=""),"",IF(H25=0,0,IF(AND(((O25/12)/2-N(I25))&gt;0,H25&lt;=S25*((O25/12)/2-N(I25))),H25/((O25/12)/2-N(I25)),IF(((O25/12)-N(I25))&lt;=0,999,S25+(H25-S25*((O25/12)/2-N(I25)))/((O25/12)-N(I25))))))</f>
        <v/>
      </c>
      <c r="AB25" s="43" t="str">
        <f aca="false">IF(OR(T25="",H25=""),"",IF(H25=0,0,IF(AND(((T25/12)/2-N(I25))&gt;0,H25&lt;=S25*((T25/12)/2-N(I25))),H25/((T25/12)/2-N(I25)),IF(((T25/12)-N(I25))&lt;=0,999,S25+(H25-S25*((T25/12)/2-N(I25)))/((T25/12)-N(I25))))))</f>
        <v/>
      </c>
      <c r="AC25" s="19" t="str">
        <f aca="false">'AVALIAÇÃO MAPA'!AW25</f>
        <v/>
      </c>
      <c r="AD25" s="19" t="n">
        <f aca="false">IF(OR(AC25="A",AC25="IA"),1,0)</f>
        <v>0</v>
      </c>
    </row>
    <row r="26" customFormat="false" ht="15" hidden="false" customHeight="false" outlineLevel="0" collapsed="false">
      <c r="A26" s="15" t="n">
        <v>21</v>
      </c>
      <c r="B26" s="18" t="str">
        <f aca="false">'AVALIAÇÃO MAPA'!B26</f>
        <v/>
      </c>
      <c r="C26" s="15" t="str">
        <f aca="false">'AVALIAÇÃO MAPA'!AS26</f>
        <v/>
      </c>
      <c r="D26" s="38" t="str">
        <f aca="false">'AVALIAÇÃO MAPA'!AN26</f>
        <v/>
      </c>
      <c r="E26" s="16"/>
      <c r="F26" s="16"/>
      <c r="G26" s="39"/>
      <c r="H26" s="24"/>
      <c r="I26" s="24"/>
      <c r="J26" s="16"/>
      <c r="K26" s="16"/>
      <c r="L26" s="16"/>
      <c r="M26" s="39"/>
      <c r="N26" s="16"/>
      <c r="O26" s="27" t="str">
        <f aca="false">'AVALIAÇÃO MAPA'!BB26</f>
        <v/>
      </c>
      <c r="P26" s="27" t="str">
        <f aca="false">'AVALIAÇÃO MAPA'!AZ26</f>
        <v/>
      </c>
      <c r="Q26" s="27" t="str">
        <f aca="false">'AVALIAÇÃO MAPA'!BA26</f>
        <v/>
      </c>
      <c r="R26" s="38" t="str">
        <f aca="false">IF('AVALIAÇÃO MAPA'!BC26="","",'AVALIAÇÃO MAPA'!BC26/12)</f>
        <v/>
      </c>
      <c r="S26" s="38" t="n">
        <f aca="false">IF(J26&lt;&gt;"",J26,Transicao_Padrao)</f>
        <v>2</v>
      </c>
      <c r="T26" s="27" t="str">
        <f aca="false">IF(O26="","",P26+IF(AND(OR(K26="Receita",K26="Contratação evitada",K26="Horas extras"),L26&lt;&gt;"",M26&lt;&gt;""),Q26,0))</f>
        <v/>
      </c>
      <c r="U26" s="40" t="str">
        <f aca="false">IF(AA26="","",IF(AA26&gt;Limite_Payback,"acima de "&amp;Limite_Payback&amp;" meses",AA26))</f>
        <v/>
      </c>
      <c r="V26" s="40" t="str">
        <f aca="false">IF(AB26="","",IF(AB26&gt;Limite_Payback,"acima de "&amp;Limite_Payback&amp;" meses",AB26))</f>
        <v/>
      </c>
      <c r="W26" s="18" t="str">
        <f aca="false">IF(T26="","",IF(T26&gt;P26,"Inclui efeito em caixa + capacidade com destino financeiro comprovável","Somente efeito em caixa"))</f>
        <v/>
      </c>
      <c r="X26" s="41" t="str">
        <f aca="false">IF(OR(O26="",E26="",E26="Fora"),"",MIN(12,S26)*((O26/12)/2-N(I26))+MAX(0,12-S26)*((O26/12)-N(I26))-N(H26))</f>
        <v/>
      </c>
      <c r="Y26" s="41" t="str">
        <f aca="false">IF(OR(O26="",E26="",E26="Fora"),"",MIN(24,S26)*((O26/12)/2-N(I26))+MAX(0,24-S26)*((O26/12)-N(I26))-N(H26))</f>
        <v/>
      </c>
      <c r="Z26" s="42" t="str">
        <f aca="false">IF(OR(E26="",E26="Fora"),"",IF(AND(E26="Onda 1",'AVALIAÇÃO MAPA'!AP26="SIM"),"Processo com trava na Onda 1. ","")&amp;IF(AND(E26="Onda 1",'AVALIAÇÃO MAPA'!AR26="SIM",AC26&lt;&gt;"P"),"Rota P sem o degrau P na simulação. ","")&amp;IF(AND(AD26=1,SUMIFS($AD$6:$AD$105,$E$6:$E$105,E26)&gt;2),"Mais de 2 projetos de automação nesta onda. ","")&amp;IF(AND(C26="Projeto estratégico",OR(N26="Protótipo",N26="Paralelo"),COUNTIFS($C$6:$C$105,"Projeto estratégico",$N$6:$N$105,"Protótipo")+COUNTIFS($C$6:$C$105,"Projeto estratégico",$N$6:$N$105,"Paralelo")&gt;1),"Mais de 1 projeto estratégico em execução. ","")&amp;IF(AND(N(Q26)&gt;0,OR(K26="",K26="Sem destino")),"Defina o destino das horas liberadas. ",""))</f>
        <v/>
      </c>
      <c r="AA26" s="43" t="str">
        <f aca="false">IF(OR(O26="",H26=""),"",IF(H26=0,0,IF(AND(((O26/12)/2-N(I26))&gt;0,H26&lt;=S26*((O26/12)/2-N(I26))),H26/((O26/12)/2-N(I26)),IF(((O26/12)-N(I26))&lt;=0,999,S26+(H26-S26*((O26/12)/2-N(I26)))/((O26/12)-N(I26))))))</f>
        <v/>
      </c>
      <c r="AB26" s="43" t="str">
        <f aca="false">IF(OR(T26="",H26=""),"",IF(H26=0,0,IF(AND(((T26/12)/2-N(I26))&gt;0,H26&lt;=S26*((T26/12)/2-N(I26))),H26/((T26/12)/2-N(I26)),IF(((T26/12)-N(I26))&lt;=0,999,S26+(H26-S26*((T26/12)/2-N(I26)))/((T26/12)-N(I26))))))</f>
        <v/>
      </c>
      <c r="AC26" s="19" t="str">
        <f aca="false">'AVALIAÇÃO MAPA'!AW26</f>
        <v/>
      </c>
      <c r="AD26" s="19" t="n">
        <f aca="false">IF(OR(AC26="A",AC26="IA"),1,0)</f>
        <v>0</v>
      </c>
    </row>
    <row r="27" customFormat="false" ht="15" hidden="false" customHeight="false" outlineLevel="0" collapsed="false">
      <c r="A27" s="15" t="n">
        <v>22</v>
      </c>
      <c r="B27" s="18" t="str">
        <f aca="false">'AVALIAÇÃO MAPA'!B27</f>
        <v/>
      </c>
      <c r="C27" s="15" t="str">
        <f aca="false">'AVALIAÇÃO MAPA'!AS27</f>
        <v/>
      </c>
      <c r="D27" s="38" t="str">
        <f aca="false">'AVALIAÇÃO MAPA'!AN27</f>
        <v/>
      </c>
      <c r="E27" s="16"/>
      <c r="F27" s="16"/>
      <c r="G27" s="39"/>
      <c r="H27" s="24"/>
      <c r="I27" s="24"/>
      <c r="J27" s="16"/>
      <c r="K27" s="16"/>
      <c r="L27" s="16"/>
      <c r="M27" s="39"/>
      <c r="N27" s="16"/>
      <c r="O27" s="27" t="str">
        <f aca="false">'AVALIAÇÃO MAPA'!BB27</f>
        <v/>
      </c>
      <c r="P27" s="27" t="str">
        <f aca="false">'AVALIAÇÃO MAPA'!AZ27</f>
        <v/>
      </c>
      <c r="Q27" s="27" t="str">
        <f aca="false">'AVALIAÇÃO MAPA'!BA27</f>
        <v/>
      </c>
      <c r="R27" s="38" t="str">
        <f aca="false">IF('AVALIAÇÃO MAPA'!BC27="","",'AVALIAÇÃO MAPA'!BC27/12)</f>
        <v/>
      </c>
      <c r="S27" s="38" t="n">
        <f aca="false">IF(J27&lt;&gt;"",J27,Transicao_Padrao)</f>
        <v>2</v>
      </c>
      <c r="T27" s="27" t="str">
        <f aca="false">IF(O27="","",P27+IF(AND(OR(K27="Receita",K27="Contratação evitada",K27="Horas extras"),L27&lt;&gt;"",M27&lt;&gt;""),Q27,0))</f>
        <v/>
      </c>
      <c r="U27" s="40" t="str">
        <f aca="false">IF(AA27="","",IF(AA27&gt;Limite_Payback,"acima de "&amp;Limite_Payback&amp;" meses",AA27))</f>
        <v/>
      </c>
      <c r="V27" s="40" t="str">
        <f aca="false">IF(AB27="","",IF(AB27&gt;Limite_Payback,"acima de "&amp;Limite_Payback&amp;" meses",AB27))</f>
        <v/>
      </c>
      <c r="W27" s="18" t="str">
        <f aca="false">IF(T27="","",IF(T27&gt;P27,"Inclui efeito em caixa + capacidade com destino financeiro comprovável","Somente efeito em caixa"))</f>
        <v/>
      </c>
      <c r="X27" s="41" t="str">
        <f aca="false">IF(OR(O27="",E27="",E27="Fora"),"",MIN(12,S27)*((O27/12)/2-N(I27))+MAX(0,12-S27)*((O27/12)-N(I27))-N(H27))</f>
        <v/>
      </c>
      <c r="Y27" s="41" t="str">
        <f aca="false">IF(OR(O27="",E27="",E27="Fora"),"",MIN(24,S27)*((O27/12)/2-N(I27))+MAX(0,24-S27)*((O27/12)-N(I27))-N(H27))</f>
        <v/>
      </c>
      <c r="Z27" s="42" t="str">
        <f aca="false">IF(OR(E27="",E27="Fora"),"",IF(AND(E27="Onda 1",'AVALIAÇÃO MAPA'!AP27="SIM"),"Processo com trava na Onda 1. ","")&amp;IF(AND(E27="Onda 1",'AVALIAÇÃO MAPA'!AR27="SIM",AC27&lt;&gt;"P"),"Rota P sem o degrau P na simulação. ","")&amp;IF(AND(AD27=1,SUMIFS($AD$6:$AD$105,$E$6:$E$105,E27)&gt;2),"Mais de 2 projetos de automação nesta onda. ","")&amp;IF(AND(C27="Projeto estratégico",OR(N27="Protótipo",N27="Paralelo"),COUNTIFS($C$6:$C$105,"Projeto estratégico",$N$6:$N$105,"Protótipo")+COUNTIFS($C$6:$C$105,"Projeto estratégico",$N$6:$N$105,"Paralelo")&gt;1),"Mais de 1 projeto estratégico em execução. ","")&amp;IF(AND(N(Q27)&gt;0,OR(K27="",K27="Sem destino")),"Defina o destino das horas liberadas. ",""))</f>
        <v/>
      </c>
      <c r="AA27" s="43" t="str">
        <f aca="false">IF(OR(O27="",H27=""),"",IF(H27=0,0,IF(AND(((O27/12)/2-N(I27))&gt;0,H27&lt;=S27*((O27/12)/2-N(I27))),H27/((O27/12)/2-N(I27)),IF(((O27/12)-N(I27))&lt;=0,999,S27+(H27-S27*((O27/12)/2-N(I27)))/((O27/12)-N(I27))))))</f>
        <v/>
      </c>
      <c r="AB27" s="43" t="str">
        <f aca="false">IF(OR(T27="",H27=""),"",IF(H27=0,0,IF(AND(((T27/12)/2-N(I27))&gt;0,H27&lt;=S27*((T27/12)/2-N(I27))),H27/((T27/12)/2-N(I27)),IF(((T27/12)-N(I27))&lt;=0,999,S27+(H27-S27*((T27/12)/2-N(I27)))/((T27/12)-N(I27))))))</f>
        <v/>
      </c>
      <c r="AC27" s="19" t="str">
        <f aca="false">'AVALIAÇÃO MAPA'!AW27</f>
        <v/>
      </c>
      <c r="AD27" s="19" t="n">
        <f aca="false">IF(OR(AC27="A",AC27="IA"),1,0)</f>
        <v>0</v>
      </c>
    </row>
    <row r="28" customFormat="false" ht="15" hidden="false" customHeight="false" outlineLevel="0" collapsed="false">
      <c r="A28" s="15" t="n">
        <v>23</v>
      </c>
      <c r="B28" s="18" t="str">
        <f aca="false">'AVALIAÇÃO MAPA'!B28</f>
        <v/>
      </c>
      <c r="C28" s="15" t="str">
        <f aca="false">'AVALIAÇÃO MAPA'!AS28</f>
        <v/>
      </c>
      <c r="D28" s="38" t="str">
        <f aca="false">'AVALIAÇÃO MAPA'!AN28</f>
        <v/>
      </c>
      <c r="E28" s="16"/>
      <c r="F28" s="16"/>
      <c r="G28" s="39"/>
      <c r="H28" s="24"/>
      <c r="I28" s="24"/>
      <c r="J28" s="16"/>
      <c r="K28" s="16"/>
      <c r="L28" s="16"/>
      <c r="M28" s="39"/>
      <c r="N28" s="16"/>
      <c r="O28" s="27" t="str">
        <f aca="false">'AVALIAÇÃO MAPA'!BB28</f>
        <v/>
      </c>
      <c r="P28" s="27" t="str">
        <f aca="false">'AVALIAÇÃO MAPA'!AZ28</f>
        <v/>
      </c>
      <c r="Q28" s="27" t="str">
        <f aca="false">'AVALIAÇÃO MAPA'!BA28</f>
        <v/>
      </c>
      <c r="R28" s="38" t="str">
        <f aca="false">IF('AVALIAÇÃO MAPA'!BC28="","",'AVALIAÇÃO MAPA'!BC28/12)</f>
        <v/>
      </c>
      <c r="S28" s="38" t="n">
        <f aca="false">IF(J28&lt;&gt;"",J28,Transicao_Padrao)</f>
        <v>2</v>
      </c>
      <c r="T28" s="27" t="str">
        <f aca="false">IF(O28="","",P28+IF(AND(OR(K28="Receita",K28="Contratação evitada",K28="Horas extras"),L28&lt;&gt;"",M28&lt;&gt;""),Q28,0))</f>
        <v/>
      </c>
      <c r="U28" s="40" t="str">
        <f aca="false">IF(AA28="","",IF(AA28&gt;Limite_Payback,"acima de "&amp;Limite_Payback&amp;" meses",AA28))</f>
        <v/>
      </c>
      <c r="V28" s="40" t="str">
        <f aca="false">IF(AB28="","",IF(AB28&gt;Limite_Payback,"acima de "&amp;Limite_Payback&amp;" meses",AB28))</f>
        <v/>
      </c>
      <c r="W28" s="18" t="str">
        <f aca="false">IF(T28="","",IF(T28&gt;P28,"Inclui efeito em caixa + capacidade com destino financeiro comprovável","Somente efeito em caixa"))</f>
        <v/>
      </c>
      <c r="X28" s="41" t="str">
        <f aca="false">IF(OR(O28="",E28="",E28="Fora"),"",MIN(12,S28)*((O28/12)/2-N(I28))+MAX(0,12-S28)*((O28/12)-N(I28))-N(H28))</f>
        <v/>
      </c>
      <c r="Y28" s="41" t="str">
        <f aca="false">IF(OR(O28="",E28="",E28="Fora"),"",MIN(24,S28)*((O28/12)/2-N(I28))+MAX(0,24-S28)*((O28/12)-N(I28))-N(H28))</f>
        <v/>
      </c>
      <c r="Z28" s="42" t="str">
        <f aca="false">IF(OR(E28="",E28="Fora"),"",IF(AND(E28="Onda 1",'AVALIAÇÃO MAPA'!AP28="SIM"),"Processo com trava na Onda 1. ","")&amp;IF(AND(E28="Onda 1",'AVALIAÇÃO MAPA'!AR28="SIM",AC28&lt;&gt;"P"),"Rota P sem o degrau P na simulação. ","")&amp;IF(AND(AD28=1,SUMIFS($AD$6:$AD$105,$E$6:$E$105,E28)&gt;2),"Mais de 2 projetos de automação nesta onda. ","")&amp;IF(AND(C28="Projeto estratégico",OR(N28="Protótipo",N28="Paralelo"),COUNTIFS($C$6:$C$105,"Projeto estratégico",$N$6:$N$105,"Protótipo")+COUNTIFS($C$6:$C$105,"Projeto estratégico",$N$6:$N$105,"Paralelo")&gt;1),"Mais de 1 projeto estratégico em execução. ","")&amp;IF(AND(N(Q28)&gt;0,OR(K28="",K28="Sem destino")),"Defina o destino das horas liberadas. ",""))</f>
        <v/>
      </c>
      <c r="AA28" s="43" t="str">
        <f aca="false">IF(OR(O28="",H28=""),"",IF(H28=0,0,IF(AND(((O28/12)/2-N(I28))&gt;0,H28&lt;=S28*((O28/12)/2-N(I28))),H28/((O28/12)/2-N(I28)),IF(((O28/12)-N(I28))&lt;=0,999,S28+(H28-S28*((O28/12)/2-N(I28)))/((O28/12)-N(I28))))))</f>
        <v/>
      </c>
      <c r="AB28" s="43" t="str">
        <f aca="false">IF(OR(T28="",H28=""),"",IF(H28=0,0,IF(AND(((T28/12)/2-N(I28))&gt;0,H28&lt;=S28*((T28/12)/2-N(I28))),H28/((T28/12)/2-N(I28)),IF(((T28/12)-N(I28))&lt;=0,999,S28+(H28-S28*((T28/12)/2-N(I28)))/((T28/12)-N(I28))))))</f>
        <v/>
      </c>
      <c r="AC28" s="19" t="str">
        <f aca="false">'AVALIAÇÃO MAPA'!AW28</f>
        <v/>
      </c>
      <c r="AD28" s="19" t="n">
        <f aca="false">IF(OR(AC28="A",AC28="IA"),1,0)</f>
        <v>0</v>
      </c>
    </row>
    <row r="29" customFormat="false" ht="15" hidden="false" customHeight="false" outlineLevel="0" collapsed="false">
      <c r="A29" s="15" t="n">
        <v>24</v>
      </c>
      <c r="B29" s="18" t="str">
        <f aca="false">'AVALIAÇÃO MAPA'!B29</f>
        <v/>
      </c>
      <c r="C29" s="15" t="str">
        <f aca="false">'AVALIAÇÃO MAPA'!AS29</f>
        <v/>
      </c>
      <c r="D29" s="38" t="str">
        <f aca="false">'AVALIAÇÃO MAPA'!AN29</f>
        <v/>
      </c>
      <c r="E29" s="16"/>
      <c r="F29" s="16"/>
      <c r="G29" s="39"/>
      <c r="H29" s="24"/>
      <c r="I29" s="24"/>
      <c r="J29" s="16"/>
      <c r="K29" s="16"/>
      <c r="L29" s="16"/>
      <c r="M29" s="39"/>
      <c r="N29" s="16"/>
      <c r="O29" s="27" t="str">
        <f aca="false">'AVALIAÇÃO MAPA'!BB29</f>
        <v/>
      </c>
      <c r="P29" s="27" t="str">
        <f aca="false">'AVALIAÇÃO MAPA'!AZ29</f>
        <v/>
      </c>
      <c r="Q29" s="27" t="str">
        <f aca="false">'AVALIAÇÃO MAPA'!BA29</f>
        <v/>
      </c>
      <c r="R29" s="38" t="str">
        <f aca="false">IF('AVALIAÇÃO MAPA'!BC29="","",'AVALIAÇÃO MAPA'!BC29/12)</f>
        <v/>
      </c>
      <c r="S29" s="38" t="n">
        <f aca="false">IF(J29&lt;&gt;"",J29,Transicao_Padrao)</f>
        <v>2</v>
      </c>
      <c r="T29" s="27" t="str">
        <f aca="false">IF(O29="","",P29+IF(AND(OR(K29="Receita",K29="Contratação evitada",K29="Horas extras"),L29&lt;&gt;"",M29&lt;&gt;""),Q29,0))</f>
        <v/>
      </c>
      <c r="U29" s="40" t="str">
        <f aca="false">IF(AA29="","",IF(AA29&gt;Limite_Payback,"acima de "&amp;Limite_Payback&amp;" meses",AA29))</f>
        <v/>
      </c>
      <c r="V29" s="40" t="str">
        <f aca="false">IF(AB29="","",IF(AB29&gt;Limite_Payback,"acima de "&amp;Limite_Payback&amp;" meses",AB29))</f>
        <v/>
      </c>
      <c r="W29" s="18" t="str">
        <f aca="false">IF(T29="","",IF(T29&gt;P29,"Inclui efeito em caixa + capacidade com destino financeiro comprovável","Somente efeito em caixa"))</f>
        <v/>
      </c>
      <c r="X29" s="41" t="str">
        <f aca="false">IF(OR(O29="",E29="",E29="Fora"),"",MIN(12,S29)*((O29/12)/2-N(I29))+MAX(0,12-S29)*((O29/12)-N(I29))-N(H29))</f>
        <v/>
      </c>
      <c r="Y29" s="41" t="str">
        <f aca="false">IF(OR(O29="",E29="",E29="Fora"),"",MIN(24,S29)*((O29/12)/2-N(I29))+MAX(0,24-S29)*((O29/12)-N(I29))-N(H29))</f>
        <v/>
      </c>
      <c r="Z29" s="42" t="str">
        <f aca="false">IF(OR(E29="",E29="Fora"),"",IF(AND(E29="Onda 1",'AVALIAÇÃO MAPA'!AP29="SIM"),"Processo com trava na Onda 1. ","")&amp;IF(AND(E29="Onda 1",'AVALIAÇÃO MAPA'!AR29="SIM",AC29&lt;&gt;"P"),"Rota P sem o degrau P na simulação. ","")&amp;IF(AND(AD29=1,SUMIFS($AD$6:$AD$105,$E$6:$E$105,E29)&gt;2),"Mais de 2 projetos de automação nesta onda. ","")&amp;IF(AND(C29="Projeto estratégico",OR(N29="Protótipo",N29="Paralelo"),COUNTIFS($C$6:$C$105,"Projeto estratégico",$N$6:$N$105,"Protótipo")+COUNTIFS($C$6:$C$105,"Projeto estratégico",$N$6:$N$105,"Paralelo")&gt;1),"Mais de 1 projeto estratégico em execução. ","")&amp;IF(AND(N(Q29)&gt;0,OR(K29="",K29="Sem destino")),"Defina o destino das horas liberadas. ",""))</f>
        <v/>
      </c>
      <c r="AA29" s="43" t="str">
        <f aca="false">IF(OR(O29="",H29=""),"",IF(H29=0,0,IF(AND(((O29/12)/2-N(I29))&gt;0,H29&lt;=S29*((O29/12)/2-N(I29))),H29/((O29/12)/2-N(I29)),IF(((O29/12)-N(I29))&lt;=0,999,S29+(H29-S29*((O29/12)/2-N(I29)))/((O29/12)-N(I29))))))</f>
        <v/>
      </c>
      <c r="AB29" s="43" t="str">
        <f aca="false">IF(OR(T29="",H29=""),"",IF(H29=0,0,IF(AND(((T29/12)/2-N(I29))&gt;0,H29&lt;=S29*((T29/12)/2-N(I29))),H29/((T29/12)/2-N(I29)),IF(((T29/12)-N(I29))&lt;=0,999,S29+(H29-S29*((T29/12)/2-N(I29)))/((T29/12)-N(I29))))))</f>
        <v/>
      </c>
      <c r="AC29" s="19" t="str">
        <f aca="false">'AVALIAÇÃO MAPA'!AW29</f>
        <v/>
      </c>
      <c r="AD29" s="19" t="n">
        <f aca="false">IF(OR(AC29="A",AC29="IA"),1,0)</f>
        <v>0</v>
      </c>
    </row>
    <row r="30" customFormat="false" ht="15" hidden="false" customHeight="false" outlineLevel="0" collapsed="false">
      <c r="A30" s="15" t="n">
        <v>25</v>
      </c>
      <c r="B30" s="18" t="str">
        <f aca="false">'AVALIAÇÃO MAPA'!B30</f>
        <v/>
      </c>
      <c r="C30" s="15" t="str">
        <f aca="false">'AVALIAÇÃO MAPA'!AS30</f>
        <v/>
      </c>
      <c r="D30" s="38" t="str">
        <f aca="false">'AVALIAÇÃO MAPA'!AN30</f>
        <v/>
      </c>
      <c r="E30" s="16"/>
      <c r="F30" s="16"/>
      <c r="G30" s="39"/>
      <c r="H30" s="24"/>
      <c r="I30" s="24"/>
      <c r="J30" s="16"/>
      <c r="K30" s="16"/>
      <c r="L30" s="16"/>
      <c r="M30" s="39"/>
      <c r="N30" s="16"/>
      <c r="O30" s="27" t="str">
        <f aca="false">'AVALIAÇÃO MAPA'!BB30</f>
        <v/>
      </c>
      <c r="P30" s="27" t="str">
        <f aca="false">'AVALIAÇÃO MAPA'!AZ30</f>
        <v/>
      </c>
      <c r="Q30" s="27" t="str">
        <f aca="false">'AVALIAÇÃO MAPA'!BA30</f>
        <v/>
      </c>
      <c r="R30" s="38" t="str">
        <f aca="false">IF('AVALIAÇÃO MAPA'!BC30="","",'AVALIAÇÃO MAPA'!BC30/12)</f>
        <v/>
      </c>
      <c r="S30" s="38" t="n">
        <f aca="false">IF(J30&lt;&gt;"",J30,Transicao_Padrao)</f>
        <v>2</v>
      </c>
      <c r="T30" s="27" t="str">
        <f aca="false">IF(O30="","",P30+IF(AND(OR(K30="Receita",K30="Contratação evitada",K30="Horas extras"),L30&lt;&gt;"",M30&lt;&gt;""),Q30,0))</f>
        <v/>
      </c>
      <c r="U30" s="40" t="str">
        <f aca="false">IF(AA30="","",IF(AA30&gt;Limite_Payback,"acima de "&amp;Limite_Payback&amp;" meses",AA30))</f>
        <v/>
      </c>
      <c r="V30" s="40" t="str">
        <f aca="false">IF(AB30="","",IF(AB30&gt;Limite_Payback,"acima de "&amp;Limite_Payback&amp;" meses",AB30))</f>
        <v/>
      </c>
      <c r="W30" s="18" t="str">
        <f aca="false">IF(T30="","",IF(T30&gt;P30,"Inclui efeito em caixa + capacidade com destino financeiro comprovável","Somente efeito em caixa"))</f>
        <v/>
      </c>
      <c r="X30" s="41" t="str">
        <f aca="false">IF(OR(O30="",E30="",E30="Fora"),"",MIN(12,S30)*((O30/12)/2-N(I30))+MAX(0,12-S30)*((O30/12)-N(I30))-N(H30))</f>
        <v/>
      </c>
      <c r="Y30" s="41" t="str">
        <f aca="false">IF(OR(O30="",E30="",E30="Fora"),"",MIN(24,S30)*((O30/12)/2-N(I30))+MAX(0,24-S30)*((O30/12)-N(I30))-N(H30))</f>
        <v/>
      </c>
      <c r="Z30" s="42" t="str">
        <f aca="false">IF(OR(E30="",E30="Fora"),"",IF(AND(E30="Onda 1",'AVALIAÇÃO MAPA'!AP30="SIM"),"Processo com trava na Onda 1. ","")&amp;IF(AND(E30="Onda 1",'AVALIAÇÃO MAPA'!AR30="SIM",AC30&lt;&gt;"P"),"Rota P sem o degrau P na simulação. ","")&amp;IF(AND(AD30=1,SUMIFS($AD$6:$AD$105,$E$6:$E$105,E30)&gt;2),"Mais de 2 projetos de automação nesta onda. ","")&amp;IF(AND(C30="Projeto estratégico",OR(N30="Protótipo",N30="Paralelo"),COUNTIFS($C$6:$C$105,"Projeto estratégico",$N$6:$N$105,"Protótipo")+COUNTIFS($C$6:$C$105,"Projeto estratégico",$N$6:$N$105,"Paralelo")&gt;1),"Mais de 1 projeto estratégico em execução. ","")&amp;IF(AND(N(Q30)&gt;0,OR(K30="",K30="Sem destino")),"Defina o destino das horas liberadas. ",""))</f>
        <v/>
      </c>
      <c r="AA30" s="43" t="str">
        <f aca="false">IF(OR(O30="",H30=""),"",IF(H30=0,0,IF(AND(((O30/12)/2-N(I30))&gt;0,H30&lt;=S30*((O30/12)/2-N(I30))),H30/((O30/12)/2-N(I30)),IF(((O30/12)-N(I30))&lt;=0,999,S30+(H30-S30*((O30/12)/2-N(I30)))/((O30/12)-N(I30))))))</f>
        <v/>
      </c>
      <c r="AB30" s="43" t="str">
        <f aca="false">IF(OR(T30="",H30=""),"",IF(H30=0,0,IF(AND(((T30/12)/2-N(I30))&gt;0,H30&lt;=S30*((T30/12)/2-N(I30))),H30/((T30/12)/2-N(I30)),IF(((T30/12)-N(I30))&lt;=0,999,S30+(H30-S30*((T30/12)/2-N(I30)))/((T30/12)-N(I30))))))</f>
        <v/>
      </c>
      <c r="AC30" s="19" t="str">
        <f aca="false">'AVALIAÇÃO MAPA'!AW30</f>
        <v/>
      </c>
      <c r="AD30" s="19" t="n">
        <f aca="false">IF(OR(AC30="A",AC30="IA"),1,0)</f>
        <v>0</v>
      </c>
    </row>
    <row r="31" customFormat="false" ht="15" hidden="false" customHeight="false" outlineLevel="0" collapsed="false">
      <c r="A31" s="15" t="n">
        <v>26</v>
      </c>
      <c r="B31" s="18" t="str">
        <f aca="false">'AVALIAÇÃO MAPA'!B31</f>
        <v/>
      </c>
      <c r="C31" s="15" t="str">
        <f aca="false">'AVALIAÇÃO MAPA'!AS31</f>
        <v/>
      </c>
      <c r="D31" s="38" t="str">
        <f aca="false">'AVALIAÇÃO MAPA'!AN31</f>
        <v/>
      </c>
      <c r="E31" s="16"/>
      <c r="F31" s="16"/>
      <c r="G31" s="39"/>
      <c r="H31" s="24"/>
      <c r="I31" s="24"/>
      <c r="J31" s="16"/>
      <c r="K31" s="16"/>
      <c r="L31" s="16"/>
      <c r="M31" s="39"/>
      <c r="N31" s="16"/>
      <c r="O31" s="27" t="str">
        <f aca="false">'AVALIAÇÃO MAPA'!BB31</f>
        <v/>
      </c>
      <c r="P31" s="27" t="str">
        <f aca="false">'AVALIAÇÃO MAPA'!AZ31</f>
        <v/>
      </c>
      <c r="Q31" s="27" t="str">
        <f aca="false">'AVALIAÇÃO MAPA'!BA31</f>
        <v/>
      </c>
      <c r="R31" s="38" t="str">
        <f aca="false">IF('AVALIAÇÃO MAPA'!BC31="","",'AVALIAÇÃO MAPA'!BC31/12)</f>
        <v/>
      </c>
      <c r="S31" s="38" t="n">
        <f aca="false">IF(J31&lt;&gt;"",J31,Transicao_Padrao)</f>
        <v>2</v>
      </c>
      <c r="T31" s="27" t="str">
        <f aca="false">IF(O31="","",P31+IF(AND(OR(K31="Receita",K31="Contratação evitada",K31="Horas extras"),L31&lt;&gt;"",M31&lt;&gt;""),Q31,0))</f>
        <v/>
      </c>
      <c r="U31" s="40" t="str">
        <f aca="false">IF(AA31="","",IF(AA31&gt;Limite_Payback,"acima de "&amp;Limite_Payback&amp;" meses",AA31))</f>
        <v/>
      </c>
      <c r="V31" s="40" t="str">
        <f aca="false">IF(AB31="","",IF(AB31&gt;Limite_Payback,"acima de "&amp;Limite_Payback&amp;" meses",AB31))</f>
        <v/>
      </c>
      <c r="W31" s="18" t="str">
        <f aca="false">IF(T31="","",IF(T31&gt;P31,"Inclui efeito em caixa + capacidade com destino financeiro comprovável","Somente efeito em caixa"))</f>
        <v/>
      </c>
      <c r="X31" s="41" t="str">
        <f aca="false">IF(OR(O31="",E31="",E31="Fora"),"",MIN(12,S31)*((O31/12)/2-N(I31))+MAX(0,12-S31)*((O31/12)-N(I31))-N(H31))</f>
        <v/>
      </c>
      <c r="Y31" s="41" t="str">
        <f aca="false">IF(OR(O31="",E31="",E31="Fora"),"",MIN(24,S31)*((O31/12)/2-N(I31))+MAX(0,24-S31)*((O31/12)-N(I31))-N(H31))</f>
        <v/>
      </c>
      <c r="Z31" s="42" t="str">
        <f aca="false">IF(OR(E31="",E31="Fora"),"",IF(AND(E31="Onda 1",'AVALIAÇÃO MAPA'!AP31="SIM"),"Processo com trava na Onda 1. ","")&amp;IF(AND(E31="Onda 1",'AVALIAÇÃO MAPA'!AR31="SIM",AC31&lt;&gt;"P"),"Rota P sem o degrau P na simulação. ","")&amp;IF(AND(AD31=1,SUMIFS($AD$6:$AD$105,$E$6:$E$105,E31)&gt;2),"Mais de 2 projetos de automação nesta onda. ","")&amp;IF(AND(C31="Projeto estratégico",OR(N31="Protótipo",N31="Paralelo"),COUNTIFS($C$6:$C$105,"Projeto estratégico",$N$6:$N$105,"Protótipo")+COUNTIFS($C$6:$C$105,"Projeto estratégico",$N$6:$N$105,"Paralelo")&gt;1),"Mais de 1 projeto estratégico em execução. ","")&amp;IF(AND(N(Q31)&gt;0,OR(K31="",K31="Sem destino")),"Defina o destino das horas liberadas. ",""))</f>
        <v/>
      </c>
      <c r="AA31" s="43" t="str">
        <f aca="false">IF(OR(O31="",H31=""),"",IF(H31=0,0,IF(AND(((O31/12)/2-N(I31))&gt;0,H31&lt;=S31*((O31/12)/2-N(I31))),H31/((O31/12)/2-N(I31)),IF(((O31/12)-N(I31))&lt;=0,999,S31+(H31-S31*((O31/12)/2-N(I31)))/((O31/12)-N(I31))))))</f>
        <v/>
      </c>
      <c r="AB31" s="43" t="str">
        <f aca="false">IF(OR(T31="",H31=""),"",IF(H31=0,0,IF(AND(((T31/12)/2-N(I31))&gt;0,H31&lt;=S31*((T31/12)/2-N(I31))),H31/((T31/12)/2-N(I31)),IF(((T31/12)-N(I31))&lt;=0,999,S31+(H31-S31*((T31/12)/2-N(I31)))/((T31/12)-N(I31))))))</f>
        <v/>
      </c>
      <c r="AC31" s="19" t="str">
        <f aca="false">'AVALIAÇÃO MAPA'!AW31</f>
        <v/>
      </c>
      <c r="AD31" s="19" t="n">
        <f aca="false">IF(OR(AC31="A",AC31="IA"),1,0)</f>
        <v>0</v>
      </c>
    </row>
    <row r="32" customFormat="false" ht="15" hidden="false" customHeight="false" outlineLevel="0" collapsed="false">
      <c r="A32" s="15" t="n">
        <v>27</v>
      </c>
      <c r="B32" s="18" t="str">
        <f aca="false">'AVALIAÇÃO MAPA'!B32</f>
        <v/>
      </c>
      <c r="C32" s="15" t="str">
        <f aca="false">'AVALIAÇÃO MAPA'!AS32</f>
        <v/>
      </c>
      <c r="D32" s="38" t="str">
        <f aca="false">'AVALIAÇÃO MAPA'!AN32</f>
        <v/>
      </c>
      <c r="E32" s="16"/>
      <c r="F32" s="16"/>
      <c r="G32" s="39"/>
      <c r="H32" s="24"/>
      <c r="I32" s="24"/>
      <c r="J32" s="16"/>
      <c r="K32" s="16"/>
      <c r="L32" s="16"/>
      <c r="M32" s="39"/>
      <c r="N32" s="16"/>
      <c r="O32" s="27" t="str">
        <f aca="false">'AVALIAÇÃO MAPA'!BB32</f>
        <v/>
      </c>
      <c r="P32" s="27" t="str">
        <f aca="false">'AVALIAÇÃO MAPA'!AZ32</f>
        <v/>
      </c>
      <c r="Q32" s="27" t="str">
        <f aca="false">'AVALIAÇÃO MAPA'!BA32</f>
        <v/>
      </c>
      <c r="R32" s="38" t="str">
        <f aca="false">IF('AVALIAÇÃO MAPA'!BC32="","",'AVALIAÇÃO MAPA'!BC32/12)</f>
        <v/>
      </c>
      <c r="S32" s="38" t="n">
        <f aca="false">IF(J32&lt;&gt;"",J32,Transicao_Padrao)</f>
        <v>2</v>
      </c>
      <c r="T32" s="27" t="str">
        <f aca="false">IF(O32="","",P32+IF(AND(OR(K32="Receita",K32="Contratação evitada",K32="Horas extras"),L32&lt;&gt;"",M32&lt;&gt;""),Q32,0))</f>
        <v/>
      </c>
      <c r="U32" s="40" t="str">
        <f aca="false">IF(AA32="","",IF(AA32&gt;Limite_Payback,"acima de "&amp;Limite_Payback&amp;" meses",AA32))</f>
        <v/>
      </c>
      <c r="V32" s="40" t="str">
        <f aca="false">IF(AB32="","",IF(AB32&gt;Limite_Payback,"acima de "&amp;Limite_Payback&amp;" meses",AB32))</f>
        <v/>
      </c>
      <c r="W32" s="18" t="str">
        <f aca="false">IF(T32="","",IF(T32&gt;P32,"Inclui efeito em caixa + capacidade com destino financeiro comprovável","Somente efeito em caixa"))</f>
        <v/>
      </c>
      <c r="X32" s="41" t="str">
        <f aca="false">IF(OR(O32="",E32="",E32="Fora"),"",MIN(12,S32)*((O32/12)/2-N(I32))+MAX(0,12-S32)*((O32/12)-N(I32))-N(H32))</f>
        <v/>
      </c>
      <c r="Y32" s="41" t="str">
        <f aca="false">IF(OR(O32="",E32="",E32="Fora"),"",MIN(24,S32)*((O32/12)/2-N(I32))+MAX(0,24-S32)*((O32/12)-N(I32))-N(H32))</f>
        <v/>
      </c>
      <c r="Z32" s="42" t="str">
        <f aca="false">IF(OR(E32="",E32="Fora"),"",IF(AND(E32="Onda 1",'AVALIAÇÃO MAPA'!AP32="SIM"),"Processo com trava na Onda 1. ","")&amp;IF(AND(E32="Onda 1",'AVALIAÇÃO MAPA'!AR32="SIM",AC32&lt;&gt;"P"),"Rota P sem o degrau P na simulação. ","")&amp;IF(AND(AD32=1,SUMIFS($AD$6:$AD$105,$E$6:$E$105,E32)&gt;2),"Mais de 2 projetos de automação nesta onda. ","")&amp;IF(AND(C32="Projeto estratégico",OR(N32="Protótipo",N32="Paralelo"),COUNTIFS($C$6:$C$105,"Projeto estratégico",$N$6:$N$105,"Protótipo")+COUNTIFS($C$6:$C$105,"Projeto estratégico",$N$6:$N$105,"Paralelo")&gt;1),"Mais de 1 projeto estratégico em execução. ","")&amp;IF(AND(N(Q32)&gt;0,OR(K32="",K32="Sem destino")),"Defina o destino das horas liberadas. ",""))</f>
        <v/>
      </c>
      <c r="AA32" s="43" t="str">
        <f aca="false">IF(OR(O32="",H32=""),"",IF(H32=0,0,IF(AND(((O32/12)/2-N(I32))&gt;0,H32&lt;=S32*((O32/12)/2-N(I32))),H32/((O32/12)/2-N(I32)),IF(((O32/12)-N(I32))&lt;=0,999,S32+(H32-S32*((O32/12)/2-N(I32)))/((O32/12)-N(I32))))))</f>
        <v/>
      </c>
      <c r="AB32" s="43" t="str">
        <f aca="false">IF(OR(T32="",H32=""),"",IF(H32=0,0,IF(AND(((T32/12)/2-N(I32))&gt;0,H32&lt;=S32*((T32/12)/2-N(I32))),H32/((T32/12)/2-N(I32)),IF(((T32/12)-N(I32))&lt;=0,999,S32+(H32-S32*((T32/12)/2-N(I32)))/((T32/12)-N(I32))))))</f>
        <v/>
      </c>
      <c r="AC32" s="19" t="str">
        <f aca="false">'AVALIAÇÃO MAPA'!AW32</f>
        <v/>
      </c>
      <c r="AD32" s="19" t="n">
        <f aca="false">IF(OR(AC32="A",AC32="IA"),1,0)</f>
        <v>0</v>
      </c>
    </row>
    <row r="33" customFormat="false" ht="15" hidden="false" customHeight="false" outlineLevel="0" collapsed="false">
      <c r="A33" s="15" t="n">
        <v>28</v>
      </c>
      <c r="B33" s="18" t="str">
        <f aca="false">'AVALIAÇÃO MAPA'!B33</f>
        <v/>
      </c>
      <c r="C33" s="15" t="str">
        <f aca="false">'AVALIAÇÃO MAPA'!AS33</f>
        <v/>
      </c>
      <c r="D33" s="38" t="str">
        <f aca="false">'AVALIAÇÃO MAPA'!AN33</f>
        <v/>
      </c>
      <c r="E33" s="16"/>
      <c r="F33" s="16"/>
      <c r="G33" s="39"/>
      <c r="H33" s="24"/>
      <c r="I33" s="24"/>
      <c r="J33" s="16"/>
      <c r="K33" s="16"/>
      <c r="L33" s="16"/>
      <c r="M33" s="39"/>
      <c r="N33" s="16"/>
      <c r="O33" s="27" t="str">
        <f aca="false">'AVALIAÇÃO MAPA'!BB33</f>
        <v/>
      </c>
      <c r="P33" s="27" t="str">
        <f aca="false">'AVALIAÇÃO MAPA'!AZ33</f>
        <v/>
      </c>
      <c r="Q33" s="27" t="str">
        <f aca="false">'AVALIAÇÃO MAPA'!BA33</f>
        <v/>
      </c>
      <c r="R33" s="38" t="str">
        <f aca="false">IF('AVALIAÇÃO MAPA'!BC33="","",'AVALIAÇÃO MAPA'!BC33/12)</f>
        <v/>
      </c>
      <c r="S33" s="38" t="n">
        <f aca="false">IF(J33&lt;&gt;"",J33,Transicao_Padrao)</f>
        <v>2</v>
      </c>
      <c r="T33" s="27" t="str">
        <f aca="false">IF(O33="","",P33+IF(AND(OR(K33="Receita",K33="Contratação evitada",K33="Horas extras"),L33&lt;&gt;"",M33&lt;&gt;""),Q33,0))</f>
        <v/>
      </c>
      <c r="U33" s="40" t="str">
        <f aca="false">IF(AA33="","",IF(AA33&gt;Limite_Payback,"acima de "&amp;Limite_Payback&amp;" meses",AA33))</f>
        <v/>
      </c>
      <c r="V33" s="40" t="str">
        <f aca="false">IF(AB33="","",IF(AB33&gt;Limite_Payback,"acima de "&amp;Limite_Payback&amp;" meses",AB33))</f>
        <v/>
      </c>
      <c r="W33" s="18" t="str">
        <f aca="false">IF(T33="","",IF(T33&gt;P33,"Inclui efeito em caixa + capacidade com destino financeiro comprovável","Somente efeito em caixa"))</f>
        <v/>
      </c>
      <c r="X33" s="41" t="str">
        <f aca="false">IF(OR(O33="",E33="",E33="Fora"),"",MIN(12,S33)*((O33/12)/2-N(I33))+MAX(0,12-S33)*((O33/12)-N(I33))-N(H33))</f>
        <v/>
      </c>
      <c r="Y33" s="41" t="str">
        <f aca="false">IF(OR(O33="",E33="",E33="Fora"),"",MIN(24,S33)*((O33/12)/2-N(I33))+MAX(0,24-S33)*((O33/12)-N(I33))-N(H33))</f>
        <v/>
      </c>
      <c r="Z33" s="42" t="str">
        <f aca="false">IF(OR(E33="",E33="Fora"),"",IF(AND(E33="Onda 1",'AVALIAÇÃO MAPA'!AP33="SIM"),"Processo com trava na Onda 1. ","")&amp;IF(AND(E33="Onda 1",'AVALIAÇÃO MAPA'!AR33="SIM",AC33&lt;&gt;"P"),"Rota P sem o degrau P na simulação. ","")&amp;IF(AND(AD33=1,SUMIFS($AD$6:$AD$105,$E$6:$E$105,E33)&gt;2),"Mais de 2 projetos de automação nesta onda. ","")&amp;IF(AND(C33="Projeto estratégico",OR(N33="Protótipo",N33="Paralelo"),COUNTIFS($C$6:$C$105,"Projeto estratégico",$N$6:$N$105,"Protótipo")+COUNTIFS($C$6:$C$105,"Projeto estratégico",$N$6:$N$105,"Paralelo")&gt;1),"Mais de 1 projeto estratégico em execução. ","")&amp;IF(AND(N(Q33)&gt;0,OR(K33="",K33="Sem destino")),"Defina o destino das horas liberadas. ",""))</f>
        <v/>
      </c>
      <c r="AA33" s="43" t="str">
        <f aca="false">IF(OR(O33="",H33=""),"",IF(H33=0,0,IF(AND(((O33/12)/2-N(I33))&gt;0,H33&lt;=S33*((O33/12)/2-N(I33))),H33/((O33/12)/2-N(I33)),IF(((O33/12)-N(I33))&lt;=0,999,S33+(H33-S33*((O33/12)/2-N(I33)))/((O33/12)-N(I33))))))</f>
        <v/>
      </c>
      <c r="AB33" s="43" t="str">
        <f aca="false">IF(OR(T33="",H33=""),"",IF(H33=0,0,IF(AND(((T33/12)/2-N(I33))&gt;0,H33&lt;=S33*((T33/12)/2-N(I33))),H33/((T33/12)/2-N(I33)),IF(((T33/12)-N(I33))&lt;=0,999,S33+(H33-S33*((T33/12)/2-N(I33)))/((T33/12)-N(I33))))))</f>
        <v/>
      </c>
      <c r="AC33" s="19" t="str">
        <f aca="false">'AVALIAÇÃO MAPA'!AW33</f>
        <v/>
      </c>
      <c r="AD33" s="19" t="n">
        <f aca="false">IF(OR(AC33="A",AC33="IA"),1,0)</f>
        <v>0</v>
      </c>
    </row>
    <row r="34" customFormat="false" ht="15" hidden="false" customHeight="false" outlineLevel="0" collapsed="false">
      <c r="A34" s="15" t="n">
        <v>29</v>
      </c>
      <c r="B34" s="18" t="str">
        <f aca="false">'AVALIAÇÃO MAPA'!B34</f>
        <v/>
      </c>
      <c r="C34" s="15" t="str">
        <f aca="false">'AVALIAÇÃO MAPA'!AS34</f>
        <v/>
      </c>
      <c r="D34" s="38" t="str">
        <f aca="false">'AVALIAÇÃO MAPA'!AN34</f>
        <v/>
      </c>
      <c r="E34" s="16"/>
      <c r="F34" s="16"/>
      <c r="G34" s="39"/>
      <c r="H34" s="24"/>
      <c r="I34" s="24"/>
      <c r="J34" s="16"/>
      <c r="K34" s="16"/>
      <c r="L34" s="16"/>
      <c r="M34" s="39"/>
      <c r="N34" s="16"/>
      <c r="O34" s="27" t="str">
        <f aca="false">'AVALIAÇÃO MAPA'!BB34</f>
        <v/>
      </c>
      <c r="P34" s="27" t="str">
        <f aca="false">'AVALIAÇÃO MAPA'!AZ34</f>
        <v/>
      </c>
      <c r="Q34" s="27" t="str">
        <f aca="false">'AVALIAÇÃO MAPA'!BA34</f>
        <v/>
      </c>
      <c r="R34" s="38" t="str">
        <f aca="false">IF('AVALIAÇÃO MAPA'!BC34="","",'AVALIAÇÃO MAPA'!BC34/12)</f>
        <v/>
      </c>
      <c r="S34" s="38" t="n">
        <f aca="false">IF(J34&lt;&gt;"",J34,Transicao_Padrao)</f>
        <v>2</v>
      </c>
      <c r="T34" s="27" t="str">
        <f aca="false">IF(O34="","",P34+IF(AND(OR(K34="Receita",K34="Contratação evitada",K34="Horas extras"),L34&lt;&gt;"",M34&lt;&gt;""),Q34,0))</f>
        <v/>
      </c>
      <c r="U34" s="40" t="str">
        <f aca="false">IF(AA34="","",IF(AA34&gt;Limite_Payback,"acima de "&amp;Limite_Payback&amp;" meses",AA34))</f>
        <v/>
      </c>
      <c r="V34" s="40" t="str">
        <f aca="false">IF(AB34="","",IF(AB34&gt;Limite_Payback,"acima de "&amp;Limite_Payback&amp;" meses",AB34))</f>
        <v/>
      </c>
      <c r="W34" s="18" t="str">
        <f aca="false">IF(T34="","",IF(T34&gt;P34,"Inclui efeito em caixa + capacidade com destino financeiro comprovável","Somente efeito em caixa"))</f>
        <v/>
      </c>
      <c r="X34" s="41" t="str">
        <f aca="false">IF(OR(O34="",E34="",E34="Fora"),"",MIN(12,S34)*((O34/12)/2-N(I34))+MAX(0,12-S34)*((O34/12)-N(I34))-N(H34))</f>
        <v/>
      </c>
      <c r="Y34" s="41" t="str">
        <f aca="false">IF(OR(O34="",E34="",E34="Fora"),"",MIN(24,S34)*((O34/12)/2-N(I34))+MAX(0,24-S34)*((O34/12)-N(I34))-N(H34))</f>
        <v/>
      </c>
      <c r="Z34" s="42" t="str">
        <f aca="false">IF(OR(E34="",E34="Fora"),"",IF(AND(E34="Onda 1",'AVALIAÇÃO MAPA'!AP34="SIM"),"Processo com trava na Onda 1. ","")&amp;IF(AND(E34="Onda 1",'AVALIAÇÃO MAPA'!AR34="SIM",AC34&lt;&gt;"P"),"Rota P sem o degrau P na simulação. ","")&amp;IF(AND(AD34=1,SUMIFS($AD$6:$AD$105,$E$6:$E$105,E34)&gt;2),"Mais de 2 projetos de automação nesta onda. ","")&amp;IF(AND(C34="Projeto estratégico",OR(N34="Protótipo",N34="Paralelo"),COUNTIFS($C$6:$C$105,"Projeto estratégico",$N$6:$N$105,"Protótipo")+COUNTIFS($C$6:$C$105,"Projeto estratégico",$N$6:$N$105,"Paralelo")&gt;1),"Mais de 1 projeto estratégico em execução. ","")&amp;IF(AND(N(Q34)&gt;0,OR(K34="",K34="Sem destino")),"Defina o destino das horas liberadas. ",""))</f>
        <v/>
      </c>
      <c r="AA34" s="43" t="str">
        <f aca="false">IF(OR(O34="",H34=""),"",IF(H34=0,0,IF(AND(((O34/12)/2-N(I34))&gt;0,H34&lt;=S34*((O34/12)/2-N(I34))),H34/((O34/12)/2-N(I34)),IF(((O34/12)-N(I34))&lt;=0,999,S34+(H34-S34*((O34/12)/2-N(I34)))/((O34/12)-N(I34))))))</f>
        <v/>
      </c>
      <c r="AB34" s="43" t="str">
        <f aca="false">IF(OR(T34="",H34=""),"",IF(H34=0,0,IF(AND(((T34/12)/2-N(I34))&gt;0,H34&lt;=S34*((T34/12)/2-N(I34))),H34/((T34/12)/2-N(I34)),IF(((T34/12)-N(I34))&lt;=0,999,S34+(H34-S34*((T34/12)/2-N(I34)))/((T34/12)-N(I34))))))</f>
        <v/>
      </c>
      <c r="AC34" s="19" t="str">
        <f aca="false">'AVALIAÇÃO MAPA'!AW34</f>
        <v/>
      </c>
      <c r="AD34" s="19" t="n">
        <f aca="false">IF(OR(AC34="A",AC34="IA"),1,0)</f>
        <v>0</v>
      </c>
    </row>
    <row r="35" customFormat="false" ht="15" hidden="false" customHeight="false" outlineLevel="0" collapsed="false">
      <c r="A35" s="15" t="n">
        <v>30</v>
      </c>
      <c r="B35" s="18" t="str">
        <f aca="false">'AVALIAÇÃO MAPA'!B35</f>
        <v/>
      </c>
      <c r="C35" s="15" t="str">
        <f aca="false">'AVALIAÇÃO MAPA'!AS35</f>
        <v/>
      </c>
      <c r="D35" s="38" t="str">
        <f aca="false">'AVALIAÇÃO MAPA'!AN35</f>
        <v/>
      </c>
      <c r="E35" s="16"/>
      <c r="F35" s="16"/>
      <c r="G35" s="39"/>
      <c r="H35" s="24"/>
      <c r="I35" s="24"/>
      <c r="J35" s="16"/>
      <c r="K35" s="16"/>
      <c r="L35" s="16"/>
      <c r="M35" s="39"/>
      <c r="N35" s="16"/>
      <c r="O35" s="27" t="str">
        <f aca="false">'AVALIAÇÃO MAPA'!BB35</f>
        <v/>
      </c>
      <c r="P35" s="27" t="str">
        <f aca="false">'AVALIAÇÃO MAPA'!AZ35</f>
        <v/>
      </c>
      <c r="Q35" s="27" t="str">
        <f aca="false">'AVALIAÇÃO MAPA'!BA35</f>
        <v/>
      </c>
      <c r="R35" s="38" t="str">
        <f aca="false">IF('AVALIAÇÃO MAPA'!BC35="","",'AVALIAÇÃO MAPA'!BC35/12)</f>
        <v/>
      </c>
      <c r="S35" s="38" t="n">
        <f aca="false">IF(J35&lt;&gt;"",J35,Transicao_Padrao)</f>
        <v>2</v>
      </c>
      <c r="T35" s="27" t="str">
        <f aca="false">IF(O35="","",P35+IF(AND(OR(K35="Receita",K35="Contratação evitada",K35="Horas extras"),L35&lt;&gt;"",M35&lt;&gt;""),Q35,0))</f>
        <v/>
      </c>
      <c r="U35" s="40" t="str">
        <f aca="false">IF(AA35="","",IF(AA35&gt;Limite_Payback,"acima de "&amp;Limite_Payback&amp;" meses",AA35))</f>
        <v/>
      </c>
      <c r="V35" s="40" t="str">
        <f aca="false">IF(AB35="","",IF(AB35&gt;Limite_Payback,"acima de "&amp;Limite_Payback&amp;" meses",AB35))</f>
        <v/>
      </c>
      <c r="W35" s="18" t="str">
        <f aca="false">IF(T35="","",IF(T35&gt;P35,"Inclui efeito em caixa + capacidade com destino financeiro comprovável","Somente efeito em caixa"))</f>
        <v/>
      </c>
      <c r="X35" s="41" t="str">
        <f aca="false">IF(OR(O35="",E35="",E35="Fora"),"",MIN(12,S35)*((O35/12)/2-N(I35))+MAX(0,12-S35)*((O35/12)-N(I35))-N(H35))</f>
        <v/>
      </c>
      <c r="Y35" s="41" t="str">
        <f aca="false">IF(OR(O35="",E35="",E35="Fora"),"",MIN(24,S35)*((O35/12)/2-N(I35))+MAX(0,24-S35)*((O35/12)-N(I35))-N(H35))</f>
        <v/>
      </c>
      <c r="Z35" s="42" t="str">
        <f aca="false">IF(OR(E35="",E35="Fora"),"",IF(AND(E35="Onda 1",'AVALIAÇÃO MAPA'!AP35="SIM"),"Processo com trava na Onda 1. ","")&amp;IF(AND(E35="Onda 1",'AVALIAÇÃO MAPA'!AR35="SIM",AC35&lt;&gt;"P"),"Rota P sem o degrau P na simulação. ","")&amp;IF(AND(AD35=1,SUMIFS($AD$6:$AD$105,$E$6:$E$105,E35)&gt;2),"Mais de 2 projetos de automação nesta onda. ","")&amp;IF(AND(C35="Projeto estratégico",OR(N35="Protótipo",N35="Paralelo"),COUNTIFS($C$6:$C$105,"Projeto estratégico",$N$6:$N$105,"Protótipo")+COUNTIFS($C$6:$C$105,"Projeto estratégico",$N$6:$N$105,"Paralelo")&gt;1),"Mais de 1 projeto estratégico em execução. ","")&amp;IF(AND(N(Q35)&gt;0,OR(K35="",K35="Sem destino")),"Defina o destino das horas liberadas. ",""))</f>
        <v/>
      </c>
      <c r="AA35" s="43" t="str">
        <f aca="false">IF(OR(O35="",H35=""),"",IF(H35=0,0,IF(AND(((O35/12)/2-N(I35))&gt;0,H35&lt;=S35*((O35/12)/2-N(I35))),H35/((O35/12)/2-N(I35)),IF(((O35/12)-N(I35))&lt;=0,999,S35+(H35-S35*((O35/12)/2-N(I35)))/((O35/12)-N(I35))))))</f>
        <v/>
      </c>
      <c r="AB35" s="43" t="str">
        <f aca="false">IF(OR(T35="",H35=""),"",IF(H35=0,0,IF(AND(((T35/12)/2-N(I35))&gt;0,H35&lt;=S35*((T35/12)/2-N(I35))),H35/((T35/12)/2-N(I35)),IF(((T35/12)-N(I35))&lt;=0,999,S35+(H35-S35*((T35/12)/2-N(I35)))/((T35/12)-N(I35))))))</f>
        <v/>
      </c>
      <c r="AC35" s="19" t="str">
        <f aca="false">'AVALIAÇÃO MAPA'!AW35</f>
        <v/>
      </c>
      <c r="AD35" s="19" t="n">
        <f aca="false">IF(OR(AC35="A",AC35="IA"),1,0)</f>
        <v>0</v>
      </c>
    </row>
    <row r="36" customFormat="false" ht="15" hidden="false" customHeight="false" outlineLevel="0" collapsed="false">
      <c r="A36" s="15" t="n">
        <v>31</v>
      </c>
      <c r="B36" s="18" t="str">
        <f aca="false">'AVALIAÇÃO MAPA'!B36</f>
        <v/>
      </c>
      <c r="C36" s="15" t="str">
        <f aca="false">'AVALIAÇÃO MAPA'!AS36</f>
        <v/>
      </c>
      <c r="D36" s="38" t="str">
        <f aca="false">'AVALIAÇÃO MAPA'!AN36</f>
        <v/>
      </c>
      <c r="E36" s="16"/>
      <c r="F36" s="16"/>
      <c r="G36" s="39"/>
      <c r="H36" s="24"/>
      <c r="I36" s="24"/>
      <c r="J36" s="16"/>
      <c r="K36" s="16"/>
      <c r="L36" s="16"/>
      <c r="M36" s="39"/>
      <c r="N36" s="16"/>
      <c r="O36" s="27" t="str">
        <f aca="false">'AVALIAÇÃO MAPA'!BB36</f>
        <v/>
      </c>
      <c r="P36" s="27" t="str">
        <f aca="false">'AVALIAÇÃO MAPA'!AZ36</f>
        <v/>
      </c>
      <c r="Q36" s="27" t="str">
        <f aca="false">'AVALIAÇÃO MAPA'!BA36</f>
        <v/>
      </c>
      <c r="R36" s="38" t="str">
        <f aca="false">IF('AVALIAÇÃO MAPA'!BC36="","",'AVALIAÇÃO MAPA'!BC36/12)</f>
        <v/>
      </c>
      <c r="S36" s="38" t="n">
        <f aca="false">IF(J36&lt;&gt;"",J36,Transicao_Padrao)</f>
        <v>2</v>
      </c>
      <c r="T36" s="27" t="str">
        <f aca="false">IF(O36="","",P36+IF(AND(OR(K36="Receita",K36="Contratação evitada",K36="Horas extras"),L36&lt;&gt;"",M36&lt;&gt;""),Q36,0))</f>
        <v/>
      </c>
      <c r="U36" s="40" t="str">
        <f aca="false">IF(AA36="","",IF(AA36&gt;Limite_Payback,"acima de "&amp;Limite_Payback&amp;" meses",AA36))</f>
        <v/>
      </c>
      <c r="V36" s="40" t="str">
        <f aca="false">IF(AB36="","",IF(AB36&gt;Limite_Payback,"acima de "&amp;Limite_Payback&amp;" meses",AB36))</f>
        <v/>
      </c>
      <c r="W36" s="18" t="str">
        <f aca="false">IF(T36="","",IF(T36&gt;P36,"Inclui efeito em caixa + capacidade com destino financeiro comprovável","Somente efeito em caixa"))</f>
        <v/>
      </c>
      <c r="X36" s="41" t="str">
        <f aca="false">IF(OR(O36="",E36="",E36="Fora"),"",MIN(12,S36)*((O36/12)/2-N(I36))+MAX(0,12-S36)*((O36/12)-N(I36))-N(H36))</f>
        <v/>
      </c>
      <c r="Y36" s="41" t="str">
        <f aca="false">IF(OR(O36="",E36="",E36="Fora"),"",MIN(24,S36)*((O36/12)/2-N(I36))+MAX(0,24-S36)*((O36/12)-N(I36))-N(H36))</f>
        <v/>
      </c>
      <c r="Z36" s="42" t="str">
        <f aca="false">IF(OR(E36="",E36="Fora"),"",IF(AND(E36="Onda 1",'AVALIAÇÃO MAPA'!AP36="SIM"),"Processo com trava na Onda 1. ","")&amp;IF(AND(E36="Onda 1",'AVALIAÇÃO MAPA'!AR36="SIM",AC36&lt;&gt;"P"),"Rota P sem o degrau P na simulação. ","")&amp;IF(AND(AD36=1,SUMIFS($AD$6:$AD$105,$E$6:$E$105,E36)&gt;2),"Mais de 2 projetos de automação nesta onda. ","")&amp;IF(AND(C36="Projeto estratégico",OR(N36="Protótipo",N36="Paralelo"),COUNTIFS($C$6:$C$105,"Projeto estratégico",$N$6:$N$105,"Protótipo")+COUNTIFS($C$6:$C$105,"Projeto estratégico",$N$6:$N$105,"Paralelo")&gt;1),"Mais de 1 projeto estratégico em execução. ","")&amp;IF(AND(N(Q36)&gt;0,OR(K36="",K36="Sem destino")),"Defina o destino das horas liberadas. ",""))</f>
        <v/>
      </c>
      <c r="AA36" s="43" t="str">
        <f aca="false">IF(OR(O36="",H36=""),"",IF(H36=0,0,IF(AND(((O36/12)/2-N(I36))&gt;0,H36&lt;=S36*((O36/12)/2-N(I36))),H36/((O36/12)/2-N(I36)),IF(((O36/12)-N(I36))&lt;=0,999,S36+(H36-S36*((O36/12)/2-N(I36)))/((O36/12)-N(I36))))))</f>
        <v/>
      </c>
      <c r="AB36" s="43" t="str">
        <f aca="false">IF(OR(T36="",H36=""),"",IF(H36=0,0,IF(AND(((T36/12)/2-N(I36))&gt;0,H36&lt;=S36*((T36/12)/2-N(I36))),H36/((T36/12)/2-N(I36)),IF(((T36/12)-N(I36))&lt;=0,999,S36+(H36-S36*((T36/12)/2-N(I36)))/((T36/12)-N(I36))))))</f>
        <v/>
      </c>
      <c r="AC36" s="19" t="str">
        <f aca="false">'AVALIAÇÃO MAPA'!AW36</f>
        <v/>
      </c>
      <c r="AD36" s="19" t="n">
        <f aca="false">IF(OR(AC36="A",AC36="IA"),1,0)</f>
        <v>0</v>
      </c>
    </row>
    <row r="37" customFormat="false" ht="15" hidden="false" customHeight="false" outlineLevel="0" collapsed="false">
      <c r="A37" s="15" t="n">
        <v>32</v>
      </c>
      <c r="B37" s="18" t="str">
        <f aca="false">'AVALIAÇÃO MAPA'!B37</f>
        <v/>
      </c>
      <c r="C37" s="15" t="str">
        <f aca="false">'AVALIAÇÃO MAPA'!AS37</f>
        <v/>
      </c>
      <c r="D37" s="38" t="str">
        <f aca="false">'AVALIAÇÃO MAPA'!AN37</f>
        <v/>
      </c>
      <c r="E37" s="16"/>
      <c r="F37" s="16"/>
      <c r="G37" s="39"/>
      <c r="H37" s="24"/>
      <c r="I37" s="24"/>
      <c r="J37" s="16"/>
      <c r="K37" s="16"/>
      <c r="L37" s="16"/>
      <c r="M37" s="39"/>
      <c r="N37" s="16"/>
      <c r="O37" s="27" t="str">
        <f aca="false">'AVALIAÇÃO MAPA'!BB37</f>
        <v/>
      </c>
      <c r="P37" s="27" t="str">
        <f aca="false">'AVALIAÇÃO MAPA'!AZ37</f>
        <v/>
      </c>
      <c r="Q37" s="27" t="str">
        <f aca="false">'AVALIAÇÃO MAPA'!BA37</f>
        <v/>
      </c>
      <c r="R37" s="38" t="str">
        <f aca="false">IF('AVALIAÇÃO MAPA'!BC37="","",'AVALIAÇÃO MAPA'!BC37/12)</f>
        <v/>
      </c>
      <c r="S37" s="38" t="n">
        <f aca="false">IF(J37&lt;&gt;"",J37,Transicao_Padrao)</f>
        <v>2</v>
      </c>
      <c r="T37" s="27" t="str">
        <f aca="false">IF(O37="","",P37+IF(AND(OR(K37="Receita",K37="Contratação evitada",K37="Horas extras"),L37&lt;&gt;"",M37&lt;&gt;""),Q37,0))</f>
        <v/>
      </c>
      <c r="U37" s="40" t="str">
        <f aca="false">IF(AA37="","",IF(AA37&gt;Limite_Payback,"acima de "&amp;Limite_Payback&amp;" meses",AA37))</f>
        <v/>
      </c>
      <c r="V37" s="40" t="str">
        <f aca="false">IF(AB37="","",IF(AB37&gt;Limite_Payback,"acima de "&amp;Limite_Payback&amp;" meses",AB37))</f>
        <v/>
      </c>
      <c r="W37" s="18" t="str">
        <f aca="false">IF(T37="","",IF(T37&gt;P37,"Inclui efeito em caixa + capacidade com destino financeiro comprovável","Somente efeito em caixa"))</f>
        <v/>
      </c>
      <c r="X37" s="41" t="str">
        <f aca="false">IF(OR(O37="",E37="",E37="Fora"),"",MIN(12,S37)*((O37/12)/2-N(I37))+MAX(0,12-S37)*((O37/12)-N(I37))-N(H37))</f>
        <v/>
      </c>
      <c r="Y37" s="41" t="str">
        <f aca="false">IF(OR(O37="",E37="",E37="Fora"),"",MIN(24,S37)*((O37/12)/2-N(I37))+MAX(0,24-S37)*((O37/12)-N(I37))-N(H37))</f>
        <v/>
      </c>
      <c r="Z37" s="42" t="str">
        <f aca="false">IF(OR(E37="",E37="Fora"),"",IF(AND(E37="Onda 1",'AVALIAÇÃO MAPA'!AP37="SIM"),"Processo com trava na Onda 1. ","")&amp;IF(AND(E37="Onda 1",'AVALIAÇÃO MAPA'!AR37="SIM",AC37&lt;&gt;"P"),"Rota P sem o degrau P na simulação. ","")&amp;IF(AND(AD37=1,SUMIFS($AD$6:$AD$105,$E$6:$E$105,E37)&gt;2),"Mais de 2 projetos de automação nesta onda. ","")&amp;IF(AND(C37="Projeto estratégico",OR(N37="Protótipo",N37="Paralelo"),COUNTIFS($C$6:$C$105,"Projeto estratégico",$N$6:$N$105,"Protótipo")+COUNTIFS($C$6:$C$105,"Projeto estratégico",$N$6:$N$105,"Paralelo")&gt;1),"Mais de 1 projeto estratégico em execução. ","")&amp;IF(AND(N(Q37)&gt;0,OR(K37="",K37="Sem destino")),"Defina o destino das horas liberadas. ",""))</f>
        <v/>
      </c>
      <c r="AA37" s="43" t="str">
        <f aca="false">IF(OR(O37="",H37=""),"",IF(H37=0,0,IF(AND(((O37/12)/2-N(I37))&gt;0,H37&lt;=S37*((O37/12)/2-N(I37))),H37/((O37/12)/2-N(I37)),IF(((O37/12)-N(I37))&lt;=0,999,S37+(H37-S37*((O37/12)/2-N(I37)))/((O37/12)-N(I37))))))</f>
        <v/>
      </c>
      <c r="AB37" s="43" t="str">
        <f aca="false">IF(OR(T37="",H37=""),"",IF(H37=0,0,IF(AND(((T37/12)/2-N(I37))&gt;0,H37&lt;=S37*((T37/12)/2-N(I37))),H37/((T37/12)/2-N(I37)),IF(((T37/12)-N(I37))&lt;=0,999,S37+(H37-S37*((T37/12)/2-N(I37)))/((T37/12)-N(I37))))))</f>
        <v/>
      </c>
      <c r="AC37" s="19" t="str">
        <f aca="false">'AVALIAÇÃO MAPA'!AW37</f>
        <v/>
      </c>
      <c r="AD37" s="19" t="n">
        <f aca="false">IF(OR(AC37="A",AC37="IA"),1,0)</f>
        <v>0</v>
      </c>
    </row>
    <row r="38" customFormat="false" ht="15" hidden="false" customHeight="false" outlineLevel="0" collapsed="false">
      <c r="A38" s="15" t="n">
        <v>33</v>
      </c>
      <c r="B38" s="18" t="str">
        <f aca="false">'AVALIAÇÃO MAPA'!B38</f>
        <v/>
      </c>
      <c r="C38" s="15" t="str">
        <f aca="false">'AVALIAÇÃO MAPA'!AS38</f>
        <v/>
      </c>
      <c r="D38" s="38" t="str">
        <f aca="false">'AVALIAÇÃO MAPA'!AN38</f>
        <v/>
      </c>
      <c r="E38" s="16"/>
      <c r="F38" s="16"/>
      <c r="G38" s="39"/>
      <c r="H38" s="24"/>
      <c r="I38" s="24"/>
      <c r="J38" s="16"/>
      <c r="K38" s="16"/>
      <c r="L38" s="16"/>
      <c r="M38" s="39"/>
      <c r="N38" s="16"/>
      <c r="O38" s="27" t="str">
        <f aca="false">'AVALIAÇÃO MAPA'!BB38</f>
        <v/>
      </c>
      <c r="P38" s="27" t="str">
        <f aca="false">'AVALIAÇÃO MAPA'!AZ38</f>
        <v/>
      </c>
      <c r="Q38" s="27" t="str">
        <f aca="false">'AVALIAÇÃO MAPA'!BA38</f>
        <v/>
      </c>
      <c r="R38" s="38" t="str">
        <f aca="false">IF('AVALIAÇÃO MAPA'!BC38="","",'AVALIAÇÃO MAPA'!BC38/12)</f>
        <v/>
      </c>
      <c r="S38" s="38" t="n">
        <f aca="false">IF(J38&lt;&gt;"",J38,Transicao_Padrao)</f>
        <v>2</v>
      </c>
      <c r="T38" s="27" t="str">
        <f aca="false">IF(O38="","",P38+IF(AND(OR(K38="Receita",K38="Contratação evitada",K38="Horas extras"),L38&lt;&gt;"",M38&lt;&gt;""),Q38,0))</f>
        <v/>
      </c>
      <c r="U38" s="40" t="str">
        <f aca="false">IF(AA38="","",IF(AA38&gt;Limite_Payback,"acima de "&amp;Limite_Payback&amp;" meses",AA38))</f>
        <v/>
      </c>
      <c r="V38" s="40" t="str">
        <f aca="false">IF(AB38="","",IF(AB38&gt;Limite_Payback,"acima de "&amp;Limite_Payback&amp;" meses",AB38))</f>
        <v/>
      </c>
      <c r="W38" s="18" t="str">
        <f aca="false">IF(T38="","",IF(T38&gt;P38,"Inclui efeito em caixa + capacidade com destino financeiro comprovável","Somente efeito em caixa"))</f>
        <v/>
      </c>
      <c r="X38" s="41" t="str">
        <f aca="false">IF(OR(O38="",E38="",E38="Fora"),"",MIN(12,S38)*((O38/12)/2-N(I38))+MAX(0,12-S38)*((O38/12)-N(I38))-N(H38))</f>
        <v/>
      </c>
      <c r="Y38" s="41" t="str">
        <f aca="false">IF(OR(O38="",E38="",E38="Fora"),"",MIN(24,S38)*((O38/12)/2-N(I38))+MAX(0,24-S38)*((O38/12)-N(I38))-N(H38))</f>
        <v/>
      </c>
      <c r="Z38" s="42" t="str">
        <f aca="false">IF(OR(E38="",E38="Fora"),"",IF(AND(E38="Onda 1",'AVALIAÇÃO MAPA'!AP38="SIM"),"Processo com trava na Onda 1. ","")&amp;IF(AND(E38="Onda 1",'AVALIAÇÃO MAPA'!AR38="SIM",AC38&lt;&gt;"P"),"Rota P sem o degrau P na simulação. ","")&amp;IF(AND(AD38=1,SUMIFS($AD$6:$AD$105,$E$6:$E$105,E38)&gt;2),"Mais de 2 projetos de automação nesta onda. ","")&amp;IF(AND(C38="Projeto estratégico",OR(N38="Protótipo",N38="Paralelo"),COUNTIFS($C$6:$C$105,"Projeto estratégico",$N$6:$N$105,"Protótipo")+COUNTIFS($C$6:$C$105,"Projeto estratégico",$N$6:$N$105,"Paralelo")&gt;1),"Mais de 1 projeto estratégico em execução. ","")&amp;IF(AND(N(Q38)&gt;0,OR(K38="",K38="Sem destino")),"Defina o destino das horas liberadas. ",""))</f>
        <v/>
      </c>
      <c r="AA38" s="43" t="str">
        <f aca="false">IF(OR(O38="",H38=""),"",IF(H38=0,0,IF(AND(((O38/12)/2-N(I38))&gt;0,H38&lt;=S38*((O38/12)/2-N(I38))),H38/((O38/12)/2-N(I38)),IF(((O38/12)-N(I38))&lt;=0,999,S38+(H38-S38*((O38/12)/2-N(I38)))/((O38/12)-N(I38))))))</f>
        <v/>
      </c>
      <c r="AB38" s="43" t="str">
        <f aca="false">IF(OR(T38="",H38=""),"",IF(H38=0,0,IF(AND(((T38/12)/2-N(I38))&gt;0,H38&lt;=S38*((T38/12)/2-N(I38))),H38/((T38/12)/2-N(I38)),IF(((T38/12)-N(I38))&lt;=0,999,S38+(H38-S38*((T38/12)/2-N(I38)))/((T38/12)-N(I38))))))</f>
        <v/>
      </c>
      <c r="AC38" s="19" t="str">
        <f aca="false">'AVALIAÇÃO MAPA'!AW38</f>
        <v/>
      </c>
      <c r="AD38" s="19" t="n">
        <f aca="false">IF(OR(AC38="A",AC38="IA"),1,0)</f>
        <v>0</v>
      </c>
    </row>
    <row r="39" customFormat="false" ht="15" hidden="false" customHeight="false" outlineLevel="0" collapsed="false">
      <c r="A39" s="15" t="n">
        <v>34</v>
      </c>
      <c r="B39" s="18" t="str">
        <f aca="false">'AVALIAÇÃO MAPA'!B39</f>
        <v/>
      </c>
      <c r="C39" s="15" t="str">
        <f aca="false">'AVALIAÇÃO MAPA'!AS39</f>
        <v/>
      </c>
      <c r="D39" s="38" t="str">
        <f aca="false">'AVALIAÇÃO MAPA'!AN39</f>
        <v/>
      </c>
      <c r="E39" s="16"/>
      <c r="F39" s="16"/>
      <c r="G39" s="39"/>
      <c r="H39" s="24"/>
      <c r="I39" s="24"/>
      <c r="J39" s="16"/>
      <c r="K39" s="16"/>
      <c r="L39" s="16"/>
      <c r="M39" s="39"/>
      <c r="N39" s="16"/>
      <c r="O39" s="27" t="str">
        <f aca="false">'AVALIAÇÃO MAPA'!BB39</f>
        <v/>
      </c>
      <c r="P39" s="27" t="str">
        <f aca="false">'AVALIAÇÃO MAPA'!AZ39</f>
        <v/>
      </c>
      <c r="Q39" s="27" t="str">
        <f aca="false">'AVALIAÇÃO MAPA'!BA39</f>
        <v/>
      </c>
      <c r="R39" s="38" t="str">
        <f aca="false">IF('AVALIAÇÃO MAPA'!BC39="","",'AVALIAÇÃO MAPA'!BC39/12)</f>
        <v/>
      </c>
      <c r="S39" s="38" t="n">
        <f aca="false">IF(J39&lt;&gt;"",J39,Transicao_Padrao)</f>
        <v>2</v>
      </c>
      <c r="T39" s="27" t="str">
        <f aca="false">IF(O39="","",P39+IF(AND(OR(K39="Receita",K39="Contratação evitada",K39="Horas extras"),L39&lt;&gt;"",M39&lt;&gt;""),Q39,0))</f>
        <v/>
      </c>
      <c r="U39" s="40" t="str">
        <f aca="false">IF(AA39="","",IF(AA39&gt;Limite_Payback,"acima de "&amp;Limite_Payback&amp;" meses",AA39))</f>
        <v/>
      </c>
      <c r="V39" s="40" t="str">
        <f aca="false">IF(AB39="","",IF(AB39&gt;Limite_Payback,"acima de "&amp;Limite_Payback&amp;" meses",AB39))</f>
        <v/>
      </c>
      <c r="W39" s="18" t="str">
        <f aca="false">IF(T39="","",IF(T39&gt;P39,"Inclui efeito em caixa + capacidade com destino financeiro comprovável","Somente efeito em caixa"))</f>
        <v/>
      </c>
      <c r="X39" s="41" t="str">
        <f aca="false">IF(OR(O39="",E39="",E39="Fora"),"",MIN(12,S39)*((O39/12)/2-N(I39))+MAX(0,12-S39)*((O39/12)-N(I39))-N(H39))</f>
        <v/>
      </c>
      <c r="Y39" s="41" t="str">
        <f aca="false">IF(OR(O39="",E39="",E39="Fora"),"",MIN(24,S39)*((O39/12)/2-N(I39))+MAX(0,24-S39)*((O39/12)-N(I39))-N(H39))</f>
        <v/>
      </c>
      <c r="Z39" s="42" t="str">
        <f aca="false">IF(OR(E39="",E39="Fora"),"",IF(AND(E39="Onda 1",'AVALIAÇÃO MAPA'!AP39="SIM"),"Processo com trava na Onda 1. ","")&amp;IF(AND(E39="Onda 1",'AVALIAÇÃO MAPA'!AR39="SIM",AC39&lt;&gt;"P"),"Rota P sem o degrau P na simulação. ","")&amp;IF(AND(AD39=1,SUMIFS($AD$6:$AD$105,$E$6:$E$105,E39)&gt;2),"Mais de 2 projetos de automação nesta onda. ","")&amp;IF(AND(C39="Projeto estratégico",OR(N39="Protótipo",N39="Paralelo"),COUNTIFS($C$6:$C$105,"Projeto estratégico",$N$6:$N$105,"Protótipo")+COUNTIFS($C$6:$C$105,"Projeto estratégico",$N$6:$N$105,"Paralelo")&gt;1),"Mais de 1 projeto estratégico em execução. ","")&amp;IF(AND(N(Q39)&gt;0,OR(K39="",K39="Sem destino")),"Defina o destino das horas liberadas. ",""))</f>
        <v/>
      </c>
      <c r="AA39" s="43" t="str">
        <f aca="false">IF(OR(O39="",H39=""),"",IF(H39=0,0,IF(AND(((O39/12)/2-N(I39))&gt;0,H39&lt;=S39*((O39/12)/2-N(I39))),H39/((O39/12)/2-N(I39)),IF(((O39/12)-N(I39))&lt;=0,999,S39+(H39-S39*((O39/12)/2-N(I39)))/((O39/12)-N(I39))))))</f>
        <v/>
      </c>
      <c r="AB39" s="43" t="str">
        <f aca="false">IF(OR(T39="",H39=""),"",IF(H39=0,0,IF(AND(((T39/12)/2-N(I39))&gt;0,H39&lt;=S39*((T39/12)/2-N(I39))),H39/((T39/12)/2-N(I39)),IF(((T39/12)-N(I39))&lt;=0,999,S39+(H39-S39*((T39/12)/2-N(I39)))/((T39/12)-N(I39))))))</f>
        <v/>
      </c>
      <c r="AC39" s="19" t="str">
        <f aca="false">'AVALIAÇÃO MAPA'!AW39</f>
        <v/>
      </c>
      <c r="AD39" s="19" t="n">
        <f aca="false">IF(OR(AC39="A",AC39="IA"),1,0)</f>
        <v>0</v>
      </c>
    </row>
    <row r="40" customFormat="false" ht="15" hidden="false" customHeight="false" outlineLevel="0" collapsed="false">
      <c r="A40" s="15" t="n">
        <v>35</v>
      </c>
      <c r="B40" s="18" t="str">
        <f aca="false">'AVALIAÇÃO MAPA'!B40</f>
        <v/>
      </c>
      <c r="C40" s="15" t="str">
        <f aca="false">'AVALIAÇÃO MAPA'!AS40</f>
        <v/>
      </c>
      <c r="D40" s="38" t="str">
        <f aca="false">'AVALIAÇÃO MAPA'!AN40</f>
        <v/>
      </c>
      <c r="E40" s="16"/>
      <c r="F40" s="16"/>
      <c r="G40" s="39"/>
      <c r="H40" s="24"/>
      <c r="I40" s="24"/>
      <c r="J40" s="16"/>
      <c r="K40" s="16"/>
      <c r="L40" s="16"/>
      <c r="M40" s="39"/>
      <c r="N40" s="16"/>
      <c r="O40" s="27" t="str">
        <f aca="false">'AVALIAÇÃO MAPA'!BB40</f>
        <v/>
      </c>
      <c r="P40" s="27" t="str">
        <f aca="false">'AVALIAÇÃO MAPA'!AZ40</f>
        <v/>
      </c>
      <c r="Q40" s="27" t="str">
        <f aca="false">'AVALIAÇÃO MAPA'!BA40</f>
        <v/>
      </c>
      <c r="R40" s="38" t="str">
        <f aca="false">IF('AVALIAÇÃO MAPA'!BC40="","",'AVALIAÇÃO MAPA'!BC40/12)</f>
        <v/>
      </c>
      <c r="S40" s="38" t="n">
        <f aca="false">IF(J40&lt;&gt;"",J40,Transicao_Padrao)</f>
        <v>2</v>
      </c>
      <c r="T40" s="27" t="str">
        <f aca="false">IF(O40="","",P40+IF(AND(OR(K40="Receita",K40="Contratação evitada",K40="Horas extras"),L40&lt;&gt;"",M40&lt;&gt;""),Q40,0))</f>
        <v/>
      </c>
      <c r="U40" s="40" t="str">
        <f aca="false">IF(AA40="","",IF(AA40&gt;Limite_Payback,"acima de "&amp;Limite_Payback&amp;" meses",AA40))</f>
        <v/>
      </c>
      <c r="V40" s="40" t="str">
        <f aca="false">IF(AB40="","",IF(AB40&gt;Limite_Payback,"acima de "&amp;Limite_Payback&amp;" meses",AB40))</f>
        <v/>
      </c>
      <c r="W40" s="18" t="str">
        <f aca="false">IF(T40="","",IF(T40&gt;P40,"Inclui efeito em caixa + capacidade com destino financeiro comprovável","Somente efeito em caixa"))</f>
        <v/>
      </c>
      <c r="X40" s="41" t="str">
        <f aca="false">IF(OR(O40="",E40="",E40="Fora"),"",MIN(12,S40)*((O40/12)/2-N(I40))+MAX(0,12-S40)*((O40/12)-N(I40))-N(H40))</f>
        <v/>
      </c>
      <c r="Y40" s="41" t="str">
        <f aca="false">IF(OR(O40="",E40="",E40="Fora"),"",MIN(24,S40)*((O40/12)/2-N(I40))+MAX(0,24-S40)*((O40/12)-N(I40))-N(H40))</f>
        <v/>
      </c>
      <c r="Z40" s="42" t="str">
        <f aca="false">IF(OR(E40="",E40="Fora"),"",IF(AND(E40="Onda 1",'AVALIAÇÃO MAPA'!AP40="SIM"),"Processo com trava na Onda 1. ","")&amp;IF(AND(E40="Onda 1",'AVALIAÇÃO MAPA'!AR40="SIM",AC40&lt;&gt;"P"),"Rota P sem o degrau P na simulação. ","")&amp;IF(AND(AD40=1,SUMIFS($AD$6:$AD$105,$E$6:$E$105,E40)&gt;2),"Mais de 2 projetos de automação nesta onda. ","")&amp;IF(AND(C40="Projeto estratégico",OR(N40="Protótipo",N40="Paralelo"),COUNTIFS($C$6:$C$105,"Projeto estratégico",$N$6:$N$105,"Protótipo")+COUNTIFS($C$6:$C$105,"Projeto estratégico",$N$6:$N$105,"Paralelo")&gt;1),"Mais de 1 projeto estratégico em execução. ","")&amp;IF(AND(N(Q40)&gt;0,OR(K40="",K40="Sem destino")),"Defina o destino das horas liberadas. ",""))</f>
        <v/>
      </c>
      <c r="AA40" s="43" t="str">
        <f aca="false">IF(OR(O40="",H40=""),"",IF(H40=0,0,IF(AND(((O40/12)/2-N(I40))&gt;0,H40&lt;=S40*((O40/12)/2-N(I40))),H40/((O40/12)/2-N(I40)),IF(((O40/12)-N(I40))&lt;=0,999,S40+(H40-S40*((O40/12)/2-N(I40)))/((O40/12)-N(I40))))))</f>
        <v/>
      </c>
      <c r="AB40" s="43" t="str">
        <f aca="false">IF(OR(T40="",H40=""),"",IF(H40=0,0,IF(AND(((T40/12)/2-N(I40))&gt;0,H40&lt;=S40*((T40/12)/2-N(I40))),H40/((T40/12)/2-N(I40)),IF(((T40/12)-N(I40))&lt;=0,999,S40+(H40-S40*((T40/12)/2-N(I40)))/((T40/12)-N(I40))))))</f>
        <v/>
      </c>
      <c r="AC40" s="19" t="str">
        <f aca="false">'AVALIAÇÃO MAPA'!AW40</f>
        <v/>
      </c>
      <c r="AD40" s="19" t="n">
        <f aca="false">IF(OR(AC40="A",AC40="IA"),1,0)</f>
        <v>0</v>
      </c>
    </row>
    <row r="41" customFormat="false" ht="15" hidden="false" customHeight="false" outlineLevel="0" collapsed="false">
      <c r="A41" s="15" t="n">
        <v>36</v>
      </c>
      <c r="B41" s="18" t="str">
        <f aca="false">'AVALIAÇÃO MAPA'!B41</f>
        <v/>
      </c>
      <c r="C41" s="15" t="str">
        <f aca="false">'AVALIAÇÃO MAPA'!AS41</f>
        <v/>
      </c>
      <c r="D41" s="38" t="str">
        <f aca="false">'AVALIAÇÃO MAPA'!AN41</f>
        <v/>
      </c>
      <c r="E41" s="16"/>
      <c r="F41" s="16"/>
      <c r="G41" s="39"/>
      <c r="H41" s="24"/>
      <c r="I41" s="24"/>
      <c r="J41" s="16"/>
      <c r="K41" s="16"/>
      <c r="L41" s="16"/>
      <c r="M41" s="39"/>
      <c r="N41" s="16"/>
      <c r="O41" s="27" t="str">
        <f aca="false">'AVALIAÇÃO MAPA'!BB41</f>
        <v/>
      </c>
      <c r="P41" s="27" t="str">
        <f aca="false">'AVALIAÇÃO MAPA'!AZ41</f>
        <v/>
      </c>
      <c r="Q41" s="27" t="str">
        <f aca="false">'AVALIAÇÃO MAPA'!BA41</f>
        <v/>
      </c>
      <c r="R41" s="38" t="str">
        <f aca="false">IF('AVALIAÇÃO MAPA'!BC41="","",'AVALIAÇÃO MAPA'!BC41/12)</f>
        <v/>
      </c>
      <c r="S41" s="38" t="n">
        <f aca="false">IF(J41&lt;&gt;"",J41,Transicao_Padrao)</f>
        <v>2</v>
      </c>
      <c r="T41" s="27" t="str">
        <f aca="false">IF(O41="","",P41+IF(AND(OR(K41="Receita",K41="Contratação evitada",K41="Horas extras"),L41&lt;&gt;"",M41&lt;&gt;""),Q41,0))</f>
        <v/>
      </c>
      <c r="U41" s="40" t="str">
        <f aca="false">IF(AA41="","",IF(AA41&gt;Limite_Payback,"acima de "&amp;Limite_Payback&amp;" meses",AA41))</f>
        <v/>
      </c>
      <c r="V41" s="40" t="str">
        <f aca="false">IF(AB41="","",IF(AB41&gt;Limite_Payback,"acima de "&amp;Limite_Payback&amp;" meses",AB41))</f>
        <v/>
      </c>
      <c r="W41" s="18" t="str">
        <f aca="false">IF(T41="","",IF(T41&gt;P41,"Inclui efeito em caixa + capacidade com destino financeiro comprovável","Somente efeito em caixa"))</f>
        <v/>
      </c>
      <c r="X41" s="41" t="str">
        <f aca="false">IF(OR(O41="",E41="",E41="Fora"),"",MIN(12,S41)*((O41/12)/2-N(I41))+MAX(0,12-S41)*((O41/12)-N(I41))-N(H41))</f>
        <v/>
      </c>
      <c r="Y41" s="41" t="str">
        <f aca="false">IF(OR(O41="",E41="",E41="Fora"),"",MIN(24,S41)*((O41/12)/2-N(I41))+MAX(0,24-S41)*((O41/12)-N(I41))-N(H41))</f>
        <v/>
      </c>
      <c r="Z41" s="42" t="str">
        <f aca="false">IF(OR(E41="",E41="Fora"),"",IF(AND(E41="Onda 1",'AVALIAÇÃO MAPA'!AP41="SIM"),"Processo com trava na Onda 1. ","")&amp;IF(AND(E41="Onda 1",'AVALIAÇÃO MAPA'!AR41="SIM",AC41&lt;&gt;"P"),"Rota P sem o degrau P na simulação. ","")&amp;IF(AND(AD41=1,SUMIFS($AD$6:$AD$105,$E$6:$E$105,E41)&gt;2),"Mais de 2 projetos de automação nesta onda. ","")&amp;IF(AND(C41="Projeto estratégico",OR(N41="Protótipo",N41="Paralelo"),COUNTIFS($C$6:$C$105,"Projeto estratégico",$N$6:$N$105,"Protótipo")+COUNTIFS($C$6:$C$105,"Projeto estratégico",$N$6:$N$105,"Paralelo")&gt;1),"Mais de 1 projeto estratégico em execução. ","")&amp;IF(AND(N(Q41)&gt;0,OR(K41="",K41="Sem destino")),"Defina o destino das horas liberadas. ",""))</f>
        <v/>
      </c>
      <c r="AA41" s="43" t="str">
        <f aca="false">IF(OR(O41="",H41=""),"",IF(H41=0,0,IF(AND(((O41/12)/2-N(I41))&gt;0,H41&lt;=S41*((O41/12)/2-N(I41))),H41/((O41/12)/2-N(I41)),IF(((O41/12)-N(I41))&lt;=0,999,S41+(H41-S41*((O41/12)/2-N(I41)))/((O41/12)-N(I41))))))</f>
        <v/>
      </c>
      <c r="AB41" s="43" t="str">
        <f aca="false">IF(OR(T41="",H41=""),"",IF(H41=0,0,IF(AND(((T41/12)/2-N(I41))&gt;0,H41&lt;=S41*((T41/12)/2-N(I41))),H41/((T41/12)/2-N(I41)),IF(((T41/12)-N(I41))&lt;=0,999,S41+(H41-S41*((T41/12)/2-N(I41)))/((T41/12)-N(I41))))))</f>
        <v/>
      </c>
      <c r="AC41" s="19" t="str">
        <f aca="false">'AVALIAÇÃO MAPA'!AW41</f>
        <v/>
      </c>
      <c r="AD41" s="19" t="n">
        <f aca="false">IF(OR(AC41="A",AC41="IA"),1,0)</f>
        <v>0</v>
      </c>
    </row>
    <row r="42" customFormat="false" ht="15" hidden="false" customHeight="false" outlineLevel="0" collapsed="false">
      <c r="A42" s="15" t="n">
        <v>37</v>
      </c>
      <c r="B42" s="18" t="str">
        <f aca="false">'AVALIAÇÃO MAPA'!B42</f>
        <v/>
      </c>
      <c r="C42" s="15" t="str">
        <f aca="false">'AVALIAÇÃO MAPA'!AS42</f>
        <v/>
      </c>
      <c r="D42" s="38" t="str">
        <f aca="false">'AVALIAÇÃO MAPA'!AN42</f>
        <v/>
      </c>
      <c r="E42" s="16"/>
      <c r="F42" s="16"/>
      <c r="G42" s="39"/>
      <c r="H42" s="24"/>
      <c r="I42" s="24"/>
      <c r="J42" s="16"/>
      <c r="K42" s="16"/>
      <c r="L42" s="16"/>
      <c r="M42" s="39"/>
      <c r="N42" s="16"/>
      <c r="O42" s="27" t="str">
        <f aca="false">'AVALIAÇÃO MAPA'!BB42</f>
        <v/>
      </c>
      <c r="P42" s="27" t="str">
        <f aca="false">'AVALIAÇÃO MAPA'!AZ42</f>
        <v/>
      </c>
      <c r="Q42" s="27" t="str">
        <f aca="false">'AVALIAÇÃO MAPA'!BA42</f>
        <v/>
      </c>
      <c r="R42" s="38" t="str">
        <f aca="false">IF('AVALIAÇÃO MAPA'!BC42="","",'AVALIAÇÃO MAPA'!BC42/12)</f>
        <v/>
      </c>
      <c r="S42" s="38" t="n">
        <f aca="false">IF(J42&lt;&gt;"",J42,Transicao_Padrao)</f>
        <v>2</v>
      </c>
      <c r="T42" s="27" t="str">
        <f aca="false">IF(O42="","",P42+IF(AND(OR(K42="Receita",K42="Contratação evitada",K42="Horas extras"),L42&lt;&gt;"",M42&lt;&gt;""),Q42,0))</f>
        <v/>
      </c>
      <c r="U42" s="40" t="str">
        <f aca="false">IF(AA42="","",IF(AA42&gt;Limite_Payback,"acima de "&amp;Limite_Payback&amp;" meses",AA42))</f>
        <v/>
      </c>
      <c r="V42" s="40" t="str">
        <f aca="false">IF(AB42="","",IF(AB42&gt;Limite_Payback,"acima de "&amp;Limite_Payback&amp;" meses",AB42))</f>
        <v/>
      </c>
      <c r="W42" s="18" t="str">
        <f aca="false">IF(T42="","",IF(T42&gt;P42,"Inclui efeito em caixa + capacidade com destino financeiro comprovável","Somente efeito em caixa"))</f>
        <v/>
      </c>
      <c r="X42" s="41" t="str">
        <f aca="false">IF(OR(O42="",E42="",E42="Fora"),"",MIN(12,S42)*((O42/12)/2-N(I42))+MAX(0,12-S42)*((O42/12)-N(I42))-N(H42))</f>
        <v/>
      </c>
      <c r="Y42" s="41" t="str">
        <f aca="false">IF(OR(O42="",E42="",E42="Fora"),"",MIN(24,S42)*((O42/12)/2-N(I42))+MAX(0,24-S42)*((O42/12)-N(I42))-N(H42))</f>
        <v/>
      </c>
      <c r="Z42" s="42" t="str">
        <f aca="false">IF(OR(E42="",E42="Fora"),"",IF(AND(E42="Onda 1",'AVALIAÇÃO MAPA'!AP42="SIM"),"Processo com trava na Onda 1. ","")&amp;IF(AND(E42="Onda 1",'AVALIAÇÃO MAPA'!AR42="SIM",AC42&lt;&gt;"P"),"Rota P sem o degrau P na simulação. ","")&amp;IF(AND(AD42=1,SUMIFS($AD$6:$AD$105,$E$6:$E$105,E42)&gt;2),"Mais de 2 projetos de automação nesta onda. ","")&amp;IF(AND(C42="Projeto estratégico",OR(N42="Protótipo",N42="Paralelo"),COUNTIFS($C$6:$C$105,"Projeto estratégico",$N$6:$N$105,"Protótipo")+COUNTIFS($C$6:$C$105,"Projeto estratégico",$N$6:$N$105,"Paralelo")&gt;1),"Mais de 1 projeto estratégico em execução. ","")&amp;IF(AND(N(Q42)&gt;0,OR(K42="",K42="Sem destino")),"Defina o destino das horas liberadas. ",""))</f>
        <v/>
      </c>
      <c r="AA42" s="43" t="str">
        <f aca="false">IF(OR(O42="",H42=""),"",IF(H42=0,0,IF(AND(((O42/12)/2-N(I42))&gt;0,H42&lt;=S42*((O42/12)/2-N(I42))),H42/((O42/12)/2-N(I42)),IF(((O42/12)-N(I42))&lt;=0,999,S42+(H42-S42*((O42/12)/2-N(I42)))/((O42/12)-N(I42))))))</f>
        <v/>
      </c>
      <c r="AB42" s="43" t="str">
        <f aca="false">IF(OR(T42="",H42=""),"",IF(H42=0,0,IF(AND(((T42/12)/2-N(I42))&gt;0,H42&lt;=S42*((T42/12)/2-N(I42))),H42/((T42/12)/2-N(I42)),IF(((T42/12)-N(I42))&lt;=0,999,S42+(H42-S42*((T42/12)/2-N(I42)))/((T42/12)-N(I42))))))</f>
        <v/>
      </c>
      <c r="AC42" s="19" t="str">
        <f aca="false">'AVALIAÇÃO MAPA'!AW42</f>
        <v/>
      </c>
      <c r="AD42" s="19" t="n">
        <f aca="false">IF(OR(AC42="A",AC42="IA"),1,0)</f>
        <v>0</v>
      </c>
    </row>
    <row r="43" customFormat="false" ht="15" hidden="false" customHeight="false" outlineLevel="0" collapsed="false">
      <c r="A43" s="15" t="n">
        <v>38</v>
      </c>
      <c r="B43" s="18" t="str">
        <f aca="false">'AVALIAÇÃO MAPA'!B43</f>
        <v/>
      </c>
      <c r="C43" s="15" t="str">
        <f aca="false">'AVALIAÇÃO MAPA'!AS43</f>
        <v/>
      </c>
      <c r="D43" s="38" t="str">
        <f aca="false">'AVALIAÇÃO MAPA'!AN43</f>
        <v/>
      </c>
      <c r="E43" s="16"/>
      <c r="F43" s="16"/>
      <c r="G43" s="39"/>
      <c r="H43" s="24"/>
      <c r="I43" s="24"/>
      <c r="J43" s="16"/>
      <c r="K43" s="16"/>
      <c r="L43" s="16"/>
      <c r="M43" s="39"/>
      <c r="N43" s="16"/>
      <c r="O43" s="27" t="str">
        <f aca="false">'AVALIAÇÃO MAPA'!BB43</f>
        <v/>
      </c>
      <c r="P43" s="27" t="str">
        <f aca="false">'AVALIAÇÃO MAPA'!AZ43</f>
        <v/>
      </c>
      <c r="Q43" s="27" t="str">
        <f aca="false">'AVALIAÇÃO MAPA'!BA43</f>
        <v/>
      </c>
      <c r="R43" s="38" t="str">
        <f aca="false">IF('AVALIAÇÃO MAPA'!BC43="","",'AVALIAÇÃO MAPA'!BC43/12)</f>
        <v/>
      </c>
      <c r="S43" s="38" t="n">
        <f aca="false">IF(J43&lt;&gt;"",J43,Transicao_Padrao)</f>
        <v>2</v>
      </c>
      <c r="T43" s="27" t="str">
        <f aca="false">IF(O43="","",P43+IF(AND(OR(K43="Receita",K43="Contratação evitada",K43="Horas extras"),L43&lt;&gt;"",M43&lt;&gt;""),Q43,0))</f>
        <v/>
      </c>
      <c r="U43" s="40" t="str">
        <f aca="false">IF(AA43="","",IF(AA43&gt;Limite_Payback,"acima de "&amp;Limite_Payback&amp;" meses",AA43))</f>
        <v/>
      </c>
      <c r="V43" s="40" t="str">
        <f aca="false">IF(AB43="","",IF(AB43&gt;Limite_Payback,"acima de "&amp;Limite_Payback&amp;" meses",AB43))</f>
        <v/>
      </c>
      <c r="W43" s="18" t="str">
        <f aca="false">IF(T43="","",IF(T43&gt;P43,"Inclui efeito em caixa + capacidade com destino financeiro comprovável","Somente efeito em caixa"))</f>
        <v/>
      </c>
      <c r="X43" s="41" t="str">
        <f aca="false">IF(OR(O43="",E43="",E43="Fora"),"",MIN(12,S43)*((O43/12)/2-N(I43))+MAX(0,12-S43)*((O43/12)-N(I43))-N(H43))</f>
        <v/>
      </c>
      <c r="Y43" s="41" t="str">
        <f aca="false">IF(OR(O43="",E43="",E43="Fora"),"",MIN(24,S43)*((O43/12)/2-N(I43))+MAX(0,24-S43)*((O43/12)-N(I43))-N(H43))</f>
        <v/>
      </c>
      <c r="Z43" s="42" t="str">
        <f aca="false">IF(OR(E43="",E43="Fora"),"",IF(AND(E43="Onda 1",'AVALIAÇÃO MAPA'!AP43="SIM"),"Processo com trava na Onda 1. ","")&amp;IF(AND(E43="Onda 1",'AVALIAÇÃO MAPA'!AR43="SIM",AC43&lt;&gt;"P"),"Rota P sem o degrau P na simulação. ","")&amp;IF(AND(AD43=1,SUMIFS($AD$6:$AD$105,$E$6:$E$105,E43)&gt;2),"Mais de 2 projetos de automação nesta onda. ","")&amp;IF(AND(C43="Projeto estratégico",OR(N43="Protótipo",N43="Paralelo"),COUNTIFS($C$6:$C$105,"Projeto estratégico",$N$6:$N$105,"Protótipo")+COUNTIFS($C$6:$C$105,"Projeto estratégico",$N$6:$N$105,"Paralelo")&gt;1),"Mais de 1 projeto estratégico em execução. ","")&amp;IF(AND(N(Q43)&gt;0,OR(K43="",K43="Sem destino")),"Defina o destino das horas liberadas. ",""))</f>
        <v/>
      </c>
      <c r="AA43" s="43" t="str">
        <f aca="false">IF(OR(O43="",H43=""),"",IF(H43=0,0,IF(AND(((O43/12)/2-N(I43))&gt;0,H43&lt;=S43*((O43/12)/2-N(I43))),H43/((O43/12)/2-N(I43)),IF(((O43/12)-N(I43))&lt;=0,999,S43+(H43-S43*((O43/12)/2-N(I43)))/((O43/12)-N(I43))))))</f>
        <v/>
      </c>
      <c r="AB43" s="43" t="str">
        <f aca="false">IF(OR(T43="",H43=""),"",IF(H43=0,0,IF(AND(((T43/12)/2-N(I43))&gt;0,H43&lt;=S43*((T43/12)/2-N(I43))),H43/((T43/12)/2-N(I43)),IF(((T43/12)-N(I43))&lt;=0,999,S43+(H43-S43*((T43/12)/2-N(I43)))/((T43/12)-N(I43))))))</f>
        <v/>
      </c>
      <c r="AC43" s="19" t="str">
        <f aca="false">'AVALIAÇÃO MAPA'!AW43</f>
        <v/>
      </c>
      <c r="AD43" s="19" t="n">
        <f aca="false">IF(OR(AC43="A",AC43="IA"),1,0)</f>
        <v>0</v>
      </c>
    </row>
    <row r="44" customFormat="false" ht="15" hidden="false" customHeight="false" outlineLevel="0" collapsed="false">
      <c r="A44" s="15" t="n">
        <v>39</v>
      </c>
      <c r="B44" s="18" t="str">
        <f aca="false">'AVALIAÇÃO MAPA'!B44</f>
        <v/>
      </c>
      <c r="C44" s="15" t="str">
        <f aca="false">'AVALIAÇÃO MAPA'!AS44</f>
        <v/>
      </c>
      <c r="D44" s="38" t="str">
        <f aca="false">'AVALIAÇÃO MAPA'!AN44</f>
        <v/>
      </c>
      <c r="E44" s="16"/>
      <c r="F44" s="16"/>
      <c r="G44" s="39"/>
      <c r="H44" s="24"/>
      <c r="I44" s="24"/>
      <c r="J44" s="16"/>
      <c r="K44" s="16"/>
      <c r="L44" s="16"/>
      <c r="M44" s="39"/>
      <c r="N44" s="16"/>
      <c r="O44" s="27" t="str">
        <f aca="false">'AVALIAÇÃO MAPA'!BB44</f>
        <v/>
      </c>
      <c r="P44" s="27" t="str">
        <f aca="false">'AVALIAÇÃO MAPA'!AZ44</f>
        <v/>
      </c>
      <c r="Q44" s="27" t="str">
        <f aca="false">'AVALIAÇÃO MAPA'!BA44</f>
        <v/>
      </c>
      <c r="R44" s="38" t="str">
        <f aca="false">IF('AVALIAÇÃO MAPA'!BC44="","",'AVALIAÇÃO MAPA'!BC44/12)</f>
        <v/>
      </c>
      <c r="S44" s="38" t="n">
        <f aca="false">IF(J44&lt;&gt;"",J44,Transicao_Padrao)</f>
        <v>2</v>
      </c>
      <c r="T44" s="27" t="str">
        <f aca="false">IF(O44="","",P44+IF(AND(OR(K44="Receita",K44="Contratação evitada",K44="Horas extras"),L44&lt;&gt;"",M44&lt;&gt;""),Q44,0))</f>
        <v/>
      </c>
      <c r="U44" s="40" t="str">
        <f aca="false">IF(AA44="","",IF(AA44&gt;Limite_Payback,"acima de "&amp;Limite_Payback&amp;" meses",AA44))</f>
        <v/>
      </c>
      <c r="V44" s="40" t="str">
        <f aca="false">IF(AB44="","",IF(AB44&gt;Limite_Payback,"acima de "&amp;Limite_Payback&amp;" meses",AB44))</f>
        <v/>
      </c>
      <c r="W44" s="18" t="str">
        <f aca="false">IF(T44="","",IF(T44&gt;P44,"Inclui efeito em caixa + capacidade com destino financeiro comprovável","Somente efeito em caixa"))</f>
        <v/>
      </c>
      <c r="X44" s="41" t="str">
        <f aca="false">IF(OR(O44="",E44="",E44="Fora"),"",MIN(12,S44)*((O44/12)/2-N(I44))+MAX(0,12-S44)*((O44/12)-N(I44))-N(H44))</f>
        <v/>
      </c>
      <c r="Y44" s="41" t="str">
        <f aca="false">IF(OR(O44="",E44="",E44="Fora"),"",MIN(24,S44)*((O44/12)/2-N(I44))+MAX(0,24-S44)*((O44/12)-N(I44))-N(H44))</f>
        <v/>
      </c>
      <c r="Z44" s="42" t="str">
        <f aca="false">IF(OR(E44="",E44="Fora"),"",IF(AND(E44="Onda 1",'AVALIAÇÃO MAPA'!AP44="SIM"),"Processo com trava na Onda 1. ","")&amp;IF(AND(E44="Onda 1",'AVALIAÇÃO MAPA'!AR44="SIM",AC44&lt;&gt;"P"),"Rota P sem o degrau P na simulação. ","")&amp;IF(AND(AD44=1,SUMIFS($AD$6:$AD$105,$E$6:$E$105,E44)&gt;2),"Mais de 2 projetos de automação nesta onda. ","")&amp;IF(AND(C44="Projeto estratégico",OR(N44="Protótipo",N44="Paralelo"),COUNTIFS($C$6:$C$105,"Projeto estratégico",$N$6:$N$105,"Protótipo")+COUNTIFS($C$6:$C$105,"Projeto estratégico",$N$6:$N$105,"Paralelo")&gt;1),"Mais de 1 projeto estratégico em execução. ","")&amp;IF(AND(N(Q44)&gt;0,OR(K44="",K44="Sem destino")),"Defina o destino das horas liberadas. ",""))</f>
        <v/>
      </c>
      <c r="AA44" s="43" t="str">
        <f aca="false">IF(OR(O44="",H44=""),"",IF(H44=0,0,IF(AND(((O44/12)/2-N(I44))&gt;0,H44&lt;=S44*((O44/12)/2-N(I44))),H44/((O44/12)/2-N(I44)),IF(((O44/12)-N(I44))&lt;=0,999,S44+(H44-S44*((O44/12)/2-N(I44)))/((O44/12)-N(I44))))))</f>
        <v/>
      </c>
      <c r="AB44" s="43" t="str">
        <f aca="false">IF(OR(T44="",H44=""),"",IF(H44=0,0,IF(AND(((T44/12)/2-N(I44))&gt;0,H44&lt;=S44*((T44/12)/2-N(I44))),H44/((T44/12)/2-N(I44)),IF(((T44/12)-N(I44))&lt;=0,999,S44+(H44-S44*((T44/12)/2-N(I44)))/((T44/12)-N(I44))))))</f>
        <v/>
      </c>
      <c r="AC44" s="19" t="str">
        <f aca="false">'AVALIAÇÃO MAPA'!AW44</f>
        <v/>
      </c>
      <c r="AD44" s="19" t="n">
        <f aca="false">IF(OR(AC44="A",AC44="IA"),1,0)</f>
        <v>0</v>
      </c>
    </row>
    <row r="45" customFormat="false" ht="15" hidden="false" customHeight="false" outlineLevel="0" collapsed="false">
      <c r="A45" s="15" t="n">
        <v>40</v>
      </c>
      <c r="B45" s="18" t="str">
        <f aca="false">'AVALIAÇÃO MAPA'!B45</f>
        <v/>
      </c>
      <c r="C45" s="15" t="str">
        <f aca="false">'AVALIAÇÃO MAPA'!AS45</f>
        <v/>
      </c>
      <c r="D45" s="38" t="str">
        <f aca="false">'AVALIAÇÃO MAPA'!AN45</f>
        <v/>
      </c>
      <c r="E45" s="16"/>
      <c r="F45" s="16"/>
      <c r="G45" s="39"/>
      <c r="H45" s="24"/>
      <c r="I45" s="24"/>
      <c r="J45" s="16"/>
      <c r="K45" s="16"/>
      <c r="L45" s="16"/>
      <c r="M45" s="39"/>
      <c r="N45" s="16"/>
      <c r="O45" s="27" t="str">
        <f aca="false">'AVALIAÇÃO MAPA'!BB45</f>
        <v/>
      </c>
      <c r="P45" s="27" t="str">
        <f aca="false">'AVALIAÇÃO MAPA'!AZ45</f>
        <v/>
      </c>
      <c r="Q45" s="27" t="str">
        <f aca="false">'AVALIAÇÃO MAPA'!BA45</f>
        <v/>
      </c>
      <c r="R45" s="38" t="str">
        <f aca="false">IF('AVALIAÇÃO MAPA'!BC45="","",'AVALIAÇÃO MAPA'!BC45/12)</f>
        <v/>
      </c>
      <c r="S45" s="38" t="n">
        <f aca="false">IF(J45&lt;&gt;"",J45,Transicao_Padrao)</f>
        <v>2</v>
      </c>
      <c r="T45" s="27" t="str">
        <f aca="false">IF(O45="","",P45+IF(AND(OR(K45="Receita",K45="Contratação evitada",K45="Horas extras"),L45&lt;&gt;"",M45&lt;&gt;""),Q45,0))</f>
        <v/>
      </c>
      <c r="U45" s="40" t="str">
        <f aca="false">IF(AA45="","",IF(AA45&gt;Limite_Payback,"acima de "&amp;Limite_Payback&amp;" meses",AA45))</f>
        <v/>
      </c>
      <c r="V45" s="40" t="str">
        <f aca="false">IF(AB45="","",IF(AB45&gt;Limite_Payback,"acima de "&amp;Limite_Payback&amp;" meses",AB45))</f>
        <v/>
      </c>
      <c r="W45" s="18" t="str">
        <f aca="false">IF(T45="","",IF(T45&gt;P45,"Inclui efeito em caixa + capacidade com destino financeiro comprovável","Somente efeito em caixa"))</f>
        <v/>
      </c>
      <c r="X45" s="41" t="str">
        <f aca="false">IF(OR(O45="",E45="",E45="Fora"),"",MIN(12,S45)*((O45/12)/2-N(I45))+MAX(0,12-S45)*((O45/12)-N(I45))-N(H45))</f>
        <v/>
      </c>
      <c r="Y45" s="41" t="str">
        <f aca="false">IF(OR(O45="",E45="",E45="Fora"),"",MIN(24,S45)*((O45/12)/2-N(I45))+MAX(0,24-S45)*((O45/12)-N(I45))-N(H45))</f>
        <v/>
      </c>
      <c r="Z45" s="42" t="str">
        <f aca="false">IF(OR(E45="",E45="Fora"),"",IF(AND(E45="Onda 1",'AVALIAÇÃO MAPA'!AP45="SIM"),"Processo com trava na Onda 1. ","")&amp;IF(AND(E45="Onda 1",'AVALIAÇÃO MAPA'!AR45="SIM",AC45&lt;&gt;"P"),"Rota P sem o degrau P na simulação. ","")&amp;IF(AND(AD45=1,SUMIFS($AD$6:$AD$105,$E$6:$E$105,E45)&gt;2),"Mais de 2 projetos de automação nesta onda. ","")&amp;IF(AND(C45="Projeto estratégico",OR(N45="Protótipo",N45="Paralelo"),COUNTIFS($C$6:$C$105,"Projeto estratégico",$N$6:$N$105,"Protótipo")+COUNTIFS($C$6:$C$105,"Projeto estratégico",$N$6:$N$105,"Paralelo")&gt;1),"Mais de 1 projeto estratégico em execução. ","")&amp;IF(AND(N(Q45)&gt;0,OR(K45="",K45="Sem destino")),"Defina o destino das horas liberadas. ",""))</f>
        <v/>
      </c>
      <c r="AA45" s="43" t="str">
        <f aca="false">IF(OR(O45="",H45=""),"",IF(H45=0,0,IF(AND(((O45/12)/2-N(I45))&gt;0,H45&lt;=S45*((O45/12)/2-N(I45))),H45/((O45/12)/2-N(I45)),IF(((O45/12)-N(I45))&lt;=0,999,S45+(H45-S45*((O45/12)/2-N(I45)))/((O45/12)-N(I45))))))</f>
        <v/>
      </c>
      <c r="AB45" s="43" t="str">
        <f aca="false">IF(OR(T45="",H45=""),"",IF(H45=0,0,IF(AND(((T45/12)/2-N(I45))&gt;0,H45&lt;=S45*((T45/12)/2-N(I45))),H45/((T45/12)/2-N(I45)),IF(((T45/12)-N(I45))&lt;=0,999,S45+(H45-S45*((T45/12)/2-N(I45)))/((T45/12)-N(I45))))))</f>
        <v/>
      </c>
      <c r="AC45" s="19" t="str">
        <f aca="false">'AVALIAÇÃO MAPA'!AW45</f>
        <v/>
      </c>
      <c r="AD45" s="19" t="n">
        <f aca="false">IF(OR(AC45="A",AC45="IA"),1,0)</f>
        <v>0</v>
      </c>
    </row>
    <row r="46" customFormat="false" ht="15" hidden="false" customHeight="false" outlineLevel="0" collapsed="false">
      <c r="A46" s="15" t="n">
        <v>41</v>
      </c>
      <c r="B46" s="18" t="str">
        <f aca="false">'AVALIAÇÃO MAPA'!B46</f>
        <v/>
      </c>
      <c r="C46" s="15" t="str">
        <f aca="false">'AVALIAÇÃO MAPA'!AS46</f>
        <v/>
      </c>
      <c r="D46" s="38" t="str">
        <f aca="false">'AVALIAÇÃO MAPA'!AN46</f>
        <v/>
      </c>
      <c r="E46" s="16"/>
      <c r="F46" s="16"/>
      <c r="G46" s="39"/>
      <c r="H46" s="24"/>
      <c r="I46" s="24"/>
      <c r="J46" s="16"/>
      <c r="K46" s="16"/>
      <c r="L46" s="16"/>
      <c r="M46" s="39"/>
      <c r="N46" s="16"/>
      <c r="O46" s="27" t="str">
        <f aca="false">'AVALIAÇÃO MAPA'!BB46</f>
        <v/>
      </c>
      <c r="P46" s="27" t="str">
        <f aca="false">'AVALIAÇÃO MAPA'!AZ46</f>
        <v/>
      </c>
      <c r="Q46" s="27" t="str">
        <f aca="false">'AVALIAÇÃO MAPA'!BA46</f>
        <v/>
      </c>
      <c r="R46" s="38" t="str">
        <f aca="false">IF('AVALIAÇÃO MAPA'!BC46="","",'AVALIAÇÃO MAPA'!BC46/12)</f>
        <v/>
      </c>
      <c r="S46" s="38" t="n">
        <f aca="false">IF(J46&lt;&gt;"",J46,Transicao_Padrao)</f>
        <v>2</v>
      </c>
      <c r="T46" s="27" t="str">
        <f aca="false">IF(O46="","",P46+IF(AND(OR(K46="Receita",K46="Contratação evitada",K46="Horas extras"),L46&lt;&gt;"",M46&lt;&gt;""),Q46,0))</f>
        <v/>
      </c>
      <c r="U46" s="40" t="str">
        <f aca="false">IF(AA46="","",IF(AA46&gt;Limite_Payback,"acima de "&amp;Limite_Payback&amp;" meses",AA46))</f>
        <v/>
      </c>
      <c r="V46" s="40" t="str">
        <f aca="false">IF(AB46="","",IF(AB46&gt;Limite_Payback,"acima de "&amp;Limite_Payback&amp;" meses",AB46))</f>
        <v/>
      </c>
      <c r="W46" s="18" t="str">
        <f aca="false">IF(T46="","",IF(T46&gt;P46,"Inclui efeito em caixa + capacidade com destino financeiro comprovável","Somente efeito em caixa"))</f>
        <v/>
      </c>
      <c r="X46" s="41" t="str">
        <f aca="false">IF(OR(O46="",E46="",E46="Fora"),"",MIN(12,S46)*((O46/12)/2-N(I46))+MAX(0,12-S46)*((O46/12)-N(I46))-N(H46))</f>
        <v/>
      </c>
      <c r="Y46" s="41" t="str">
        <f aca="false">IF(OR(O46="",E46="",E46="Fora"),"",MIN(24,S46)*((O46/12)/2-N(I46))+MAX(0,24-S46)*((O46/12)-N(I46))-N(H46))</f>
        <v/>
      </c>
      <c r="Z46" s="42" t="str">
        <f aca="false">IF(OR(E46="",E46="Fora"),"",IF(AND(E46="Onda 1",'AVALIAÇÃO MAPA'!AP46="SIM"),"Processo com trava na Onda 1. ","")&amp;IF(AND(E46="Onda 1",'AVALIAÇÃO MAPA'!AR46="SIM",AC46&lt;&gt;"P"),"Rota P sem o degrau P na simulação. ","")&amp;IF(AND(AD46=1,SUMIFS($AD$6:$AD$105,$E$6:$E$105,E46)&gt;2),"Mais de 2 projetos de automação nesta onda. ","")&amp;IF(AND(C46="Projeto estratégico",OR(N46="Protótipo",N46="Paralelo"),COUNTIFS($C$6:$C$105,"Projeto estratégico",$N$6:$N$105,"Protótipo")+COUNTIFS($C$6:$C$105,"Projeto estratégico",$N$6:$N$105,"Paralelo")&gt;1),"Mais de 1 projeto estratégico em execução. ","")&amp;IF(AND(N(Q46)&gt;0,OR(K46="",K46="Sem destino")),"Defina o destino das horas liberadas. ",""))</f>
        <v/>
      </c>
      <c r="AA46" s="43" t="str">
        <f aca="false">IF(OR(O46="",H46=""),"",IF(H46=0,0,IF(AND(((O46/12)/2-N(I46))&gt;0,H46&lt;=S46*((O46/12)/2-N(I46))),H46/((O46/12)/2-N(I46)),IF(((O46/12)-N(I46))&lt;=0,999,S46+(H46-S46*((O46/12)/2-N(I46)))/((O46/12)-N(I46))))))</f>
        <v/>
      </c>
      <c r="AB46" s="43" t="str">
        <f aca="false">IF(OR(T46="",H46=""),"",IF(H46=0,0,IF(AND(((T46/12)/2-N(I46))&gt;0,H46&lt;=S46*((T46/12)/2-N(I46))),H46/((T46/12)/2-N(I46)),IF(((T46/12)-N(I46))&lt;=0,999,S46+(H46-S46*((T46/12)/2-N(I46)))/((T46/12)-N(I46))))))</f>
        <v/>
      </c>
      <c r="AC46" s="19" t="str">
        <f aca="false">'AVALIAÇÃO MAPA'!AW46</f>
        <v/>
      </c>
      <c r="AD46" s="19" t="n">
        <f aca="false">IF(OR(AC46="A",AC46="IA"),1,0)</f>
        <v>0</v>
      </c>
    </row>
    <row r="47" customFormat="false" ht="15" hidden="false" customHeight="false" outlineLevel="0" collapsed="false">
      <c r="A47" s="15" t="n">
        <v>42</v>
      </c>
      <c r="B47" s="18" t="str">
        <f aca="false">'AVALIAÇÃO MAPA'!B47</f>
        <v/>
      </c>
      <c r="C47" s="15" t="str">
        <f aca="false">'AVALIAÇÃO MAPA'!AS47</f>
        <v/>
      </c>
      <c r="D47" s="38" t="str">
        <f aca="false">'AVALIAÇÃO MAPA'!AN47</f>
        <v/>
      </c>
      <c r="E47" s="16"/>
      <c r="F47" s="16"/>
      <c r="G47" s="39"/>
      <c r="H47" s="24"/>
      <c r="I47" s="24"/>
      <c r="J47" s="16"/>
      <c r="K47" s="16"/>
      <c r="L47" s="16"/>
      <c r="M47" s="39"/>
      <c r="N47" s="16"/>
      <c r="O47" s="27" t="str">
        <f aca="false">'AVALIAÇÃO MAPA'!BB47</f>
        <v/>
      </c>
      <c r="P47" s="27" t="str">
        <f aca="false">'AVALIAÇÃO MAPA'!AZ47</f>
        <v/>
      </c>
      <c r="Q47" s="27" t="str">
        <f aca="false">'AVALIAÇÃO MAPA'!BA47</f>
        <v/>
      </c>
      <c r="R47" s="38" t="str">
        <f aca="false">IF('AVALIAÇÃO MAPA'!BC47="","",'AVALIAÇÃO MAPA'!BC47/12)</f>
        <v/>
      </c>
      <c r="S47" s="38" t="n">
        <f aca="false">IF(J47&lt;&gt;"",J47,Transicao_Padrao)</f>
        <v>2</v>
      </c>
      <c r="T47" s="27" t="str">
        <f aca="false">IF(O47="","",P47+IF(AND(OR(K47="Receita",K47="Contratação evitada",K47="Horas extras"),L47&lt;&gt;"",M47&lt;&gt;""),Q47,0))</f>
        <v/>
      </c>
      <c r="U47" s="40" t="str">
        <f aca="false">IF(AA47="","",IF(AA47&gt;Limite_Payback,"acima de "&amp;Limite_Payback&amp;" meses",AA47))</f>
        <v/>
      </c>
      <c r="V47" s="40" t="str">
        <f aca="false">IF(AB47="","",IF(AB47&gt;Limite_Payback,"acima de "&amp;Limite_Payback&amp;" meses",AB47))</f>
        <v/>
      </c>
      <c r="W47" s="18" t="str">
        <f aca="false">IF(T47="","",IF(T47&gt;P47,"Inclui efeito em caixa + capacidade com destino financeiro comprovável","Somente efeito em caixa"))</f>
        <v/>
      </c>
      <c r="X47" s="41" t="str">
        <f aca="false">IF(OR(O47="",E47="",E47="Fora"),"",MIN(12,S47)*((O47/12)/2-N(I47))+MAX(0,12-S47)*((O47/12)-N(I47))-N(H47))</f>
        <v/>
      </c>
      <c r="Y47" s="41" t="str">
        <f aca="false">IF(OR(O47="",E47="",E47="Fora"),"",MIN(24,S47)*((O47/12)/2-N(I47))+MAX(0,24-S47)*((O47/12)-N(I47))-N(H47))</f>
        <v/>
      </c>
      <c r="Z47" s="42" t="str">
        <f aca="false">IF(OR(E47="",E47="Fora"),"",IF(AND(E47="Onda 1",'AVALIAÇÃO MAPA'!AP47="SIM"),"Processo com trava na Onda 1. ","")&amp;IF(AND(E47="Onda 1",'AVALIAÇÃO MAPA'!AR47="SIM",AC47&lt;&gt;"P"),"Rota P sem o degrau P na simulação. ","")&amp;IF(AND(AD47=1,SUMIFS($AD$6:$AD$105,$E$6:$E$105,E47)&gt;2),"Mais de 2 projetos de automação nesta onda. ","")&amp;IF(AND(C47="Projeto estratégico",OR(N47="Protótipo",N47="Paralelo"),COUNTIFS($C$6:$C$105,"Projeto estratégico",$N$6:$N$105,"Protótipo")+COUNTIFS($C$6:$C$105,"Projeto estratégico",$N$6:$N$105,"Paralelo")&gt;1),"Mais de 1 projeto estratégico em execução. ","")&amp;IF(AND(N(Q47)&gt;0,OR(K47="",K47="Sem destino")),"Defina o destino das horas liberadas. ",""))</f>
        <v/>
      </c>
      <c r="AA47" s="43" t="str">
        <f aca="false">IF(OR(O47="",H47=""),"",IF(H47=0,0,IF(AND(((O47/12)/2-N(I47))&gt;0,H47&lt;=S47*((O47/12)/2-N(I47))),H47/((O47/12)/2-N(I47)),IF(((O47/12)-N(I47))&lt;=0,999,S47+(H47-S47*((O47/12)/2-N(I47)))/((O47/12)-N(I47))))))</f>
        <v/>
      </c>
      <c r="AB47" s="43" t="str">
        <f aca="false">IF(OR(T47="",H47=""),"",IF(H47=0,0,IF(AND(((T47/12)/2-N(I47))&gt;0,H47&lt;=S47*((T47/12)/2-N(I47))),H47/((T47/12)/2-N(I47)),IF(((T47/12)-N(I47))&lt;=0,999,S47+(H47-S47*((T47/12)/2-N(I47)))/((T47/12)-N(I47))))))</f>
        <v/>
      </c>
      <c r="AC47" s="19" t="str">
        <f aca="false">'AVALIAÇÃO MAPA'!AW47</f>
        <v/>
      </c>
      <c r="AD47" s="19" t="n">
        <f aca="false">IF(OR(AC47="A",AC47="IA"),1,0)</f>
        <v>0</v>
      </c>
    </row>
    <row r="48" customFormat="false" ht="15" hidden="false" customHeight="false" outlineLevel="0" collapsed="false">
      <c r="A48" s="15" t="n">
        <v>43</v>
      </c>
      <c r="B48" s="18" t="str">
        <f aca="false">'AVALIAÇÃO MAPA'!B48</f>
        <v/>
      </c>
      <c r="C48" s="15" t="str">
        <f aca="false">'AVALIAÇÃO MAPA'!AS48</f>
        <v/>
      </c>
      <c r="D48" s="38" t="str">
        <f aca="false">'AVALIAÇÃO MAPA'!AN48</f>
        <v/>
      </c>
      <c r="E48" s="16"/>
      <c r="F48" s="16"/>
      <c r="G48" s="39"/>
      <c r="H48" s="24"/>
      <c r="I48" s="24"/>
      <c r="J48" s="16"/>
      <c r="K48" s="16"/>
      <c r="L48" s="16"/>
      <c r="M48" s="39"/>
      <c r="N48" s="16"/>
      <c r="O48" s="27" t="str">
        <f aca="false">'AVALIAÇÃO MAPA'!BB48</f>
        <v/>
      </c>
      <c r="P48" s="27" t="str">
        <f aca="false">'AVALIAÇÃO MAPA'!AZ48</f>
        <v/>
      </c>
      <c r="Q48" s="27" t="str">
        <f aca="false">'AVALIAÇÃO MAPA'!BA48</f>
        <v/>
      </c>
      <c r="R48" s="38" t="str">
        <f aca="false">IF('AVALIAÇÃO MAPA'!BC48="","",'AVALIAÇÃO MAPA'!BC48/12)</f>
        <v/>
      </c>
      <c r="S48" s="38" t="n">
        <f aca="false">IF(J48&lt;&gt;"",J48,Transicao_Padrao)</f>
        <v>2</v>
      </c>
      <c r="T48" s="27" t="str">
        <f aca="false">IF(O48="","",P48+IF(AND(OR(K48="Receita",K48="Contratação evitada",K48="Horas extras"),L48&lt;&gt;"",M48&lt;&gt;""),Q48,0))</f>
        <v/>
      </c>
      <c r="U48" s="40" t="str">
        <f aca="false">IF(AA48="","",IF(AA48&gt;Limite_Payback,"acima de "&amp;Limite_Payback&amp;" meses",AA48))</f>
        <v/>
      </c>
      <c r="V48" s="40" t="str">
        <f aca="false">IF(AB48="","",IF(AB48&gt;Limite_Payback,"acima de "&amp;Limite_Payback&amp;" meses",AB48))</f>
        <v/>
      </c>
      <c r="W48" s="18" t="str">
        <f aca="false">IF(T48="","",IF(T48&gt;P48,"Inclui efeito em caixa + capacidade com destino financeiro comprovável","Somente efeito em caixa"))</f>
        <v/>
      </c>
      <c r="X48" s="41" t="str">
        <f aca="false">IF(OR(O48="",E48="",E48="Fora"),"",MIN(12,S48)*((O48/12)/2-N(I48))+MAX(0,12-S48)*((O48/12)-N(I48))-N(H48))</f>
        <v/>
      </c>
      <c r="Y48" s="41" t="str">
        <f aca="false">IF(OR(O48="",E48="",E48="Fora"),"",MIN(24,S48)*((O48/12)/2-N(I48))+MAX(0,24-S48)*((O48/12)-N(I48))-N(H48))</f>
        <v/>
      </c>
      <c r="Z48" s="42" t="str">
        <f aca="false">IF(OR(E48="",E48="Fora"),"",IF(AND(E48="Onda 1",'AVALIAÇÃO MAPA'!AP48="SIM"),"Processo com trava na Onda 1. ","")&amp;IF(AND(E48="Onda 1",'AVALIAÇÃO MAPA'!AR48="SIM",AC48&lt;&gt;"P"),"Rota P sem o degrau P na simulação. ","")&amp;IF(AND(AD48=1,SUMIFS($AD$6:$AD$105,$E$6:$E$105,E48)&gt;2),"Mais de 2 projetos de automação nesta onda. ","")&amp;IF(AND(C48="Projeto estratégico",OR(N48="Protótipo",N48="Paralelo"),COUNTIFS($C$6:$C$105,"Projeto estratégico",$N$6:$N$105,"Protótipo")+COUNTIFS($C$6:$C$105,"Projeto estratégico",$N$6:$N$105,"Paralelo")&gt;1),"Mais de 1 projeto estratégico em execução. ","")&amp;IF(AND(N(Q48)&gt;0,OR(K48="",K48="Sem destino")),"Defina o destino das horas liberadas. ",""))</f>
        <v/>
      </c>
      <c r="AA48" s="43" t="str">
        <f aca="false">IF(OR(O48="",H48=""),"",IF(H48=0,0,IF(AND(((O48/12)/2-N(I48))&gt;0,H48&lt;=S48*((O48/12)/2-N(I48))),H48/((O48/12)/2-N(I48)),IF(((O48/12)-N(I48))&lt;=0,999,S48+(H48-S48*((O48/12)/2-N(I48)))/((O48/12)-N(I48))))))</f>
        <v/>
      </c>
      <c r="AB48" s="43" t="str">
        <f aca="false">IF(OR(T48="",H48=""),"",IF(H48=0,0,IF(AND(((T48/12)/2-N(I48))&gt;0,H48&lt;=S48*((T48/12)/2-N(I48))),H48/((T48/12)/2-N(I48)),IF(((T48/12)-N(I48))&lt;=0,999,S48+(H48-S48*((T48/12)/2-N(I48)))/((T48/12)-N(I48))))))</f>
        <v/>
      </c>
      <c r="AC48" s="19" t="str">
        <f aca="false">'AVALIAÇÃO MAPA'!AW48</f>
        <v/>
      </c>
      <c r="AD48" s="19" t="n">
        <f aca="false">IF(OR(AC48="A",AC48="IA"),1,0)</f>
        <v>0</v>
      </c>
    </row>
    <row r="49" customFormat="false" ht="15" hidden="false" customHeight="false" outlineLevel="0" collapsed="false">
      <c r="A49" s="15" t="n">
        <v>44</v>
      </c>
      <c r="B49" s="18" t="str">
        <f aca="false">'AVALIAÇÃO MAPA'!B49</f>
        <v/>
      </c>
      <c r="C49" s="15" t="str">
        <f aca="false">'AVALIAÇÃO MAPA'!AS49</f>
        <v/>
      </c>
      <c r="D49" s="38" t="str">
        <f aca="false">'AVALIAÇÃO MAPA'!AN49</f>
        <v/>
      </c>
      <c r="E49" s="16"/>
      <c r="F49" s="16"/>
      <c r="G49" s="39"/>
      <c r="H49" s="24"/>
      <c r="I49" s="24"/>
      <c r="J49" s="16"/>
      <c r="K49" s="16"/>
      <c r="L49" s="16"/>
      <c r="M49" s="39"/>
      <c r="N49" s="16"/>
      <c r="O49" s="27" t="str">
        <f aca="false">'AVALIAÇÃO MAPA'!BB49</f>
        <v/>
      </c>
      <c r="P49" s="27" t="str">
        <f aca="false">'AVALIAÇÃO MAPA'!AZ49</f>
        <v/>
      </c>
      <c r="Q49" s="27" t="str">
        <f aca="false">'AVALIAÇÃO MAPA'!BA49</f>
        <v/>
      </c>
      <c r="R49" s="38" t="str">
        <f aca="false">IF('AVALIAÇÃO MAPA'!BC49="","",'AVALIAÇÃO MAPA'!BC49/12)</f>
        <v/>
      </c>
      <c r="S49" s="38" t="n">
        <f aca="false">IF(J49&lt;&gt;"",J49,Transicao_Padrao)</f>
        <v>2</v>
      </c>
      <c r="T49" s="27" t="str">
        <f aca="false">IF(O49="","",P49+IF(AND(OR(K49="Receita",K49="Contratação evitada",K49="Horas extras"),L49&lt;&gt;"",M49&lt;&gt;""),Q49,0))</f>
        <v/>
      </c>
      <c r="U49" s="40" t="str">
        <f aca="false">IF(AA49="","",IF(AA49&gt;Limite_Payback,"acima de "&amp;Limite_Payback&amp;" meses",AA49))</f>
        <v/>
      </c>
      <c r="V49" s="40" t="str">
        <f aca="false">IF(AB49="","",IF(AB49&gt;Limite_Payback,"acima de "&amp;Limite_Payback&amp;" meses",AB49))</f>
        <v/>
      </c>
      <c r="W49" s="18" t="str">
        <f aca="false">IF(T49="","",IF(T49&gt;P49,"Inclui efeito em caixa + capacidade com destino financeiro comprovável","Somente efeito em caixa"))</f>
        <v/>
      </c>
      <c r="X49" s="41" t="str">
        <f aca="false">IF(OR(O49="",E49="",E49="Fora"),"",MIN(12,S49)*((O49/12)/2-N(I49))+MAX(0,12-S49)*((O49/12)-N(I49))-N(H49))</f>
        <v/>
      </c>
      <c r="Y49" s="41" t="str">
        <f aca="false">IF(OR(O49="",E49="",E49="Fora"),"",MIN(24,S49)*((O49/12)/2-N(I49))+MAX(0,24-S49)*((O49/12)-N(I49))-N(H49))</f>
        <v/>
      </c>
      <c r="Z49" s="42" t="str">
        <f aca="false">IF(OR(E49="",E49="Fora"),"",IF(AND(E49="Onda 1",'AVALIAÇÃO MAPA'!AP49="SIM"),"Processo com trava na Onda 1. ","")&amp;IF(AND(E49="Onda 1",'AVALIAÇÃO MAPA'!AR49="SIM",AC49&lt;&gt;"P"),"Rota P sem o degrau P na simulação. ","")&amp;IF(AND(AD49=1,SUMIFS($AD$6:$AD$105,$E$6:$E$105,E49)&gt;2),"Mais de 2 projetos de automação nesta onda. ","")&amp;IF(AND(C49="Projeto estratégico",OR(N49="Protótipo",N49="Paralelo"),COUNTIFS($C$6:$C$105,"Projeto estratégico",$N$6:$N$105,"Protótipo")+COUNTIFS($C$6:$C$105,"Projeto estratégico",$N$6:$N$105,"Paralelo")&gt;1),"Mais de 1 projeto estratégico em execução. ","")&amp;IF(AND(N(Q49)&gt;0,OR(K49="",K49="Sem destino")),"Defina o destino das horas liberadas. ",""))</f>
        <v/>
      </c>
      <c r="AA49" s="43" t="str">
        <f aca="false">IF(OR(O49="",H49=""),"",IF(H49=0,0,IF(AND(((O49/12)/2-N(I49))&gt;0,H49&lt;=S49*((O49/12)/2-N(I49))),H49/((O49/12)/2-N(I49)),IF(((O49/12)-N(I49))&lt;=0,999,S49+(H49-S49*((O49/12)/2-N(I49)))/((O49/12)-N(I49))))))</f>
        <v/>
      </c>
      <c r="AB49" s="43" t="str">
        <f aca="false">IF(OR(T49="",H49=""),"",IF(H49=0,0,IF(AND(((T49/12)/2-N(I49))&gt;0,H49&lt;=S49*((T49/12)/2-N(I49))),H49/((T49/12)/2-N(I49)),IF(((T49/12)-N(I49))&lt;=0,999,S49+(H49-S49*((T49/12)/2-N(I49)))/((T49/12)-N(I49))))))</f>
        <v/>
      </c>
      <c r="AC49" s="19" t="str">
        <f aca="false">'AVALIAÇÃO MAPA'!AW49</f>
        <v/>
      </c>
      <c r="AD49" s="19" t="n">
        <f aca="false">IF(OR(AC49="A",AC49="IA"),1,0)</f>
        <v>0</v>
      </c>
    </row>
    <row r="50" customFormat="false" ht="15" hidden="false" customHeight="false" outlineLevel="0" collapsed="false">
      <c r="A50" s="15" t="n">
        <v>45</v>
      </c>
      <c r="B50" s="18" t="str">
        <f aca="false">'AVALIAÇÃO MAPA'!B50</f>
        <v/>
      </c>
      <c r="C50" s="15" t="str">
        <f aca="false">'AVALIAÇÃO MAPA'!AS50</f>
        <v/>
      </c>
      <c r="D50" s="38" t="str">
        <f aca="false">'AVALIAÇÃO MAPA'!AN50</f>
        <v/>
      </c>
      <c r="E50" s="16"/>
      <c r="F50" s="16"/>
      <c r="G50" s="39"/>
      <c r="H50" s="24"/>
      <c r="I50" s="24"/>
      <c r="J50" s="16"/>
      <c r="K50" s="16"/>
      <c r="L50" s="16"/>
      <c r="M50" s="39"/>
      <c r="N50" s="16"/>
      <c r="O50" s="27" t="str">
        <f aca="false">'AVALIAÇÃO MAPA'!BB50</f>
        <v/>
      </c>
      <c r="P50" s="27" t="str">
        <f aca="false">'AVALIAÇÃO MAPA'!AZ50</f>
        <v/>
      </c>
      <c r="Q50" s="27" t="str">
        <f aca="false">'AVALIAÇÃO MAPA'!BA50</f>
        <v/>
      </c>
      <c r="R50" s="38" t="str">
        <f aca="false">IF('AVALIAÇÃO MAPA'!BC50="","",'AVALIAÇÃO MAPA'!BC50/12)</f>
        <v/>
      </c>
      <c r="S50" s="38" t="n">
        <f aca="false">IF(J50&lt;&gt;"",J50,Transicao_Padrao)</f>
        <v>2</v>
      </c>
      <c r="T50" s="27" t="str">
        <f aca="false">IF(O50="","",P50+IF(AND(OR(K50="Receita",K50="Contratação evitada",K50="Horas extras"),L50&lt;&gt;"",M50&lt;&gt;""),Q50,0))</f>
        <v/>
      </c>
      <c r="U50" s="40" t="str">
        <f aca="false">IF(AA50="","",IF(AA50&gt;Limite_Payback,"acima de "&amp;Limite_Payback&amp;" meses",AA50))</f>
        <v/>
      </c>
      <c r="V50" s="40" t="str">
        <f aca="false">IF(AB50="","",IF(AB50&gt;Limite_Payback,"acima de "&amp;Limite_Payback&amp;" meses",AB50))</f>
        <v/>
      </c>
      <c r="W50" s="18" t="str">
        <f aca="false">IF(T50="","",IF(T50&gt;P50,"Inclui efeito em caixa + capacidade com destino financeiro comprovável","Somente efeito em caixa"))</f>
        <v/>
      </c>
      <c r="X50" s="41" t="str">
        <f aca="false">IF(OR(O50="",E50="",E50="Fora"),"",MIN(12,S50)*((O50/12)/2-N(I50))+MAX(0,12-S50)*((O50/12)-N(I50))-N(H50))</f>
        <v/>
      </c>
      <c r="Y50" s="41" t="str">
        <f aca="false">IF(OR(O50="",E50="",E50="Fora"),"",MIN(24,S50)*((O50/12)/2-N(I50))+MAX(0,24-S50)*((O50/12)-N(I50))-N(H50))</f>
        <v/>
      </c>
      <c r="Z50" s="42" t="str">
        <f aca="false">IF(OR(E50="",E50="Fora"),"",IF(AND(E50="Onda 1",'AVALIAÇÃO MAPA'!AP50="SIM"),"Processo com trava na Onda 1. ","")&amp;IF(AND(E50="Onda 1",'AVALIAÇÃO MAPA'!AR50="SIM",AC50&lt;&gt;"P"),"Rota P sem o degrau P na simulação. ","")&amp;IF(AND(AD50=1,SUMIFS($AD$6:$AD$105,$E$6:$E$105,E50)&gt;2),"Mais de 2 projetos de automação nesta onda. ","")&amp;IF(AND(C50="Projeto estratégico",OR(N50="Protótipo",N50="Paralelo"),COUNTIFS($C$6:$C$105,"Projeto estratégico",$N$6:$N$105,"Protótipo")+COUNTIFS($C$6:$C$105,"Projeto estratégico",$N$6:$N$105,"Paralelo")&gt;1),"Mais de 1 projeto estratégico em execução. ","")&amp;IF(AND(N(Q50)&gt;0,OR(K50="",K50="Sem destino")),"Defina o destino das horas liberadas. ",""))</f>
        <v/>
      </c>
      <c r="AA50" s="43" t="str">
        <f aca="false">IF(OR(O50="",H50=""),"",IF(H50=0,0,IF(AND(((O50/12)/2-N(I50))&gt;0,H50&lt;=S50*((O50/12)/2-N(I50))),H50/((O50/12)/2-N(I50)),IF(((O50/12)-N(I50))&lt;=0,999,S50+(H50-S50*((O50/12)/2-N(I50)))/((O50/12)-N(I50))))))</f>
        <v/>
      </c>
      <c r="AB50" s="43" t="str">
        <f aca="false">IF(OR(T50="",H50=""),"",IF(H50=0,0,IF(AND(((T50/12)/2-N(I50))&gt;0,H50&lt;=S50*((T50/12)/2-N(I50))),H50/((T50/12)/2-N(I50)),IF(((T50/12)-N(I50))&lt;=0,999,S50+(H50-S50*((T50/12)/2-N(I50)))/((T50/12)-N(I50))))))</f>
        <v/>
      </c>
      <c r="AC50" s="19" t="str">
        <f aca="false">'AVALIAÇÃO MAPA'!AW50</f>
        <v/>
      </c>
      <c r="AD50" s="19" t="n">
        <f aca="false">IF(OR(AC50="A",AC50="IA"),1,0)</f>
        <v>0</v>
      </c>
    </row>
    <row r="51" customFormat="false" ht="15" hidden="false" customHeight="false" outlineLevel="0" collapsed="false">
      <c r="A51" s="15" t="n">
        <v>46</v>
      </c>
      <c r="B51" s="18" t="str">
        <f aca="false">'AVALIAÇÃO MAPA'!B51</f>
        <v/>
      </c>
      <c r="C51" s="15" t="str">
        <f aca="false">'AVALIAÇÃO MAPA'!AS51</f>
        <v/>
      </c>
      <c r="D51" s="38" t="str">
        <f aca="false">'AVALIAÇÃO MAPA'!AN51</f>
        <v/>
      </c>
      <c r="E51" s="16"/>
      <c r="F51" s="16"/>
      <c r="G51" s="39"/>
      <c r="H51" s="24"/>
      <c r="I51" s="24"/>
      <c r="J51" s="16"/>
      <c r="K51" s="16"/>
      <c r="L51" s="16"/>
      <c r="M51" s="39"/>
      <c r="N51" s="16"/>
      <c r="O51" s="27" t="str">
        <f aca="false">'AVALIAÇÃO MAPA'!BB51</f>
        <v/>
      </c>
      <c r="P51" s="27" t="str">
        <f aca="false">'AVALIAÇÃO MAPA'!AZ51</f>
        <v/>
      </c>
      <c r="Q51" s="27" t="str">
        <f aca="false">'AVALIAÇÃO MAPA'!BA51</f>
        <v/>
      </c>
      <c r="R51" s="38" t="str">
        <f aca="false">IF('AVALIAÇÃO MAPA'!BC51="","",'AVALIAÇÃO MAPA'!BC51/12)</f>
        <v/>
      </c>
      <c r="S51" s="38" t="n">
        <f aca="false">IF(J51&lt;&gt;"",J51,Transicao_Padrao)</f>
        <v>2</v>
      </c>
      <c r="T51" s="27" t="str">
        <f aca="false">IF(O51="","",P51+IF(AND(OR(K51="Receita",K51="Contratação evitada",K51="Horas extras"),L51&lt;&gt;"",M51&lt;&gt;""),Q51,0))</f>
        <v/>
      </c>
      <c r="U51" s="40" t="str">
        <f aca="false">IF(AA51="","",IF(AA51&gt;Limite_Payback,"acima de "&amp;Limite_Payback&amp;" meses",AA51))</f>
        <v/>
      </c>
      <c r="V51" s="40" t="str">
        <f aca="false">IF(AB51="","",IF(AB51&gt;Limite_Payback,"acima de "&amp;Limite_Payback&amp;" meses",AB51))</f>
        <v/>
      </c>
      <c r="W51" s="18" t="str">
        <f aca="false">IF(T51="","",IF(T51&gt;P51,"Inclui efeito em caixa + capacidade com destino financeiro comprovável","Somente efeito em caixa"))</f>
        <v/>
      </c>
      <c r="X51" s="41" t="str">
        <f aca="false">IF(OR(O51="",E51="",E51="Fora"),"",MIN(12,S51)*((O51/12)/2-N(I51))+MAX(0,12-S51)*((O51/12)-N(I51))-N(H51))</f>
        <v/>
      </c>
      <c r="Y51" s="41" t="str">
        <f aca="false">IF(OR(O51="",E51="",E51="Fora"),"",MIN(24,S51)*((O51/12)/2-N(I51))+MAX(0,24-S51)*((O51/12)-N(I51))-N(H51))</f>
        <v/>
      </c>
      <c r="Z51" s="42" t="str">
        <f aca="false">IF(OR(E51="",E51="Fora"),"",IF(AND(E51="Onda 1",'AVALIAÇÃO MAPA'!AP51="SIM"),"Processo com trava na Onda 1. ","")&amp;IF(AND(E51="Onda 1",'AVALIAÇÃO MAPA'!AR51="SIM",AC51&lt;&gt;"P"),"Rota P sem o degrau P na simulação. ","")&amp;IF(AND(AD51=1,SUMIFS($AD$6:$AD$105,$E$6:$E$105,E51)&gt;2),"Mais de 2 projetos de automação nesta onda. ","")&amp;IF(AND(C51="Projeto estratégico",OR(N51="Protótipo",N51="Paralelo"),COUNTIFS($C$6:$C$105,"Projeto estratégico",$N$6:$N$105,"Protótipo")+COUNTIFS($C$6:$C$105,"Projeto estratégico",$N$6:$N$105,"Paralelo")&gt;1),"Mais de 1 projeto estratégico em execução. ","")&amp;IF(AND(N(Q51)&gt;0,OR(K51="",K51="Sem destino")),"Defina o destino das horas liberadas. ",""))</f>
        <v/>
      </c>
      <c r="AA51" s="43" t="str">
        <f aca="false">IF(OR(O51="",H51=""),"",IF(H51=0,0,IF(AND(((O51/12)/2-N(I51))&gt;0,H51&lt;=S51*((O51/12)/2-N(I51))),H51/((O51/12)/2-N(I51)),IF(((O51/12)-N(I51))&lt;=0,999,S51+(H51-S51*((O51/12)/2-N(I51)))/((O51/12)-N(I51))))))</f>
        <v/>
      </c>
      <c r="AB51" s="43" t="str">
        <f aca="false">IF(OR(T51="",H51=""),"",IF(H51=0,0,IF(AND(((T51/12)/2-N(I51))&gt;0,H51&lt;=S51*((T51/12)/2-N(I51))),H51/((T51/12)/2-N(I51)),IF(((T51/12)-N(I51))&lt;=0,999,S51+(H51-S51*((T51/12)/2-N(I51)))/((T51/12)-N(I51))))))</f>
        <v/>
      </c>
      <c r="AC51" s="19" t="str">
        <f aca="false">'AVALIAÇÃO MAPA'!AW51</f>
        <v/>
      </c>
      <c r="AD51" s="19" t="n">
        <f aca="false">IF(OR(AC51="A",AC51="IA"),1,0)</f>
        <v>0</v>
      </c>
    </row>
    <row r="52" customFormat="false" ht="15" hidden="false" customHeight="false" outlineLevel="0" collapsed="false">
      <c r="A52" s="15" t="n">
        <v>47</v>
      </c>
      <c r="B52" s="18" t="str">
        <f aca="false">'AVALIAÇÃO MAPA'!B52</f>
        <v/>
      </c>
      <c r="C52" s="15" t="str">
        <f aca="false">'AVALIAÇÃO MAPA'!AS52</f>
        <v/>
      </c>
      <c r="D52" s="38" t="str">
        <f aca="false">'AVALIAÇÃO MAPA'!AN52</f>
        <v/>
      </c>
      <c r="E52" s="16"/>
      <c r="F52" s="16"/>
      <c r="G52" s="39"/>
      <c r="H52" s="24"/>
      <c r="I52" s="24"/>
      <c r="J52" s="16"/>
      <c r="K52" s="16"/>
      <c r="L52" s="16"/>
      <c r="M52" s="39"/>
      <c r="N52" s="16"/>
      <c r="O52" s="27" t="str">
        <f aca="false">'AVALIAÇÃO MAPA'!BB52</f>
        <v/>
      </c>
      <c r="P52" s="27" t="str">
        <f aca="false">'AVALIAÇÃO MAPA'!AZ52</f>
        <v/>
      </c>
      <c r="Q52" s="27" t="str">
        <f aca="false">'AVALIAÇÃO MAPA'!BA52</f>
        <v/>
      </c>
      <c r="R52" s="38" t="str">
        <f aca="false">IF('AVALIAÇÃO MAPA'!BC52="","",'AVALIAÇÃO MAPA'!BC52/12)</f>
        <v/>
      </c>
      <c r="S52" s="38" t="n">
        <f aca="false">IF(J52&lt;&gt;"",J52,Transicao_Padrao)</f>
        <v>2</v>
      </c>
      <c r="T52" s="27" t="str">
        <f aca="false">IF(O52="","",P52+IF(AND(OR(K52="Receita",K52="Contratação evitada",K52="Horas extras"),L52&lt;&gt;"",M52&lt;&gt;""),Q52,0))</f>
        <v/>
      </c>
      <c r="U52" s="40" t="str">
        <f aca="false">IF(AA52="","",IF(AA52&gt;Limite_Payback,"acima de "&amp;Limite_Payback&amp;" meses",AA52))</f>
        <v/>
      </c>
      <c r="V52" s="40" t="str">
        <f aca="false">IF(AB52="","",IF(AB52&gt;Limite_Payback,"acima de "&amp;Limite_Payback&amp;" meses",AB52))</f>
        <v/>
      </c>
      <c r="W52" s="18" t="str">
        <f aca="false">IF(T52="","",IF(T52&gt;P52,"Inclui efeito em caixa + capacidade com destino financeiro comprovável","Somente efeito em caixa"))</f>
        <v/>
      </c>
      <c r="X52" s="41" t="str">
        <f aca="false">IF(OR(O52="",E52="",E52="Fora"),"",MIN(12,S52)*((O52/12)/2-N(I52))+MAX(0,12-S52)*((O52/12)-N(I52))-N(H52))</f>
        <v/>
      </c>
      <c r="Y52" s="41" t="str">
        <f aca="false">IF(OR(O52="",E52="",E52="Fora"),"",MIN(24,S52)*((O52/12)/2-N(I52))+MAX(0,24-S52)*((O52/12)-N(I52))-N(H52))</f>
        <v/>
      </c>
      <c r="Z52" s="42" t="str">
        <f aca="false">IF(OR(E52="",E52="Fora"),"",IF(AND(E52="Onda 1",'AVALIAÇÃO MAPA'!AP52="SIM"),"Processo com trava na Onda 1. ","")&amp;IF(AND(E52="Onda 1",'AVALIAÇÃO MAPA'!AR52="SIM",AC52&lt;&gt;"P"),"Rota P sem o degrau P na simulação. ","")&amp;IF(AND(AD52=1,SUMIFS($AD$6:$AD$105,$E$6:$E$105,E52)&gt;2),"Mais de 2 projetos de automação nesta onda. ","")&amp;IF(AND(C52="Projeto estratégico",OR(N52="Protótipo",N52="Paralelo"),COUNTIFS($C$6:$C$105,"Projeto estratégico",$N$6:$N$105,"Protótipo")+COUNTIFS($C$6:$C$105,"Projeto estratégico",$N$6:$N$105,"Paralelo")&gt;1),"Mais de 1 projeto estratégico em execução. ","")&amp;IF(AND(N(Q52)&gt;0,OR(K52="",K52="Sem destino")),"Defina o destino das horas liberadas. ",""))</f>
        <v/>
      </c>
      <c r="AA52" s="43" t="str">
        <f aca="false">IF(OR(O52="",H52=""),"",IF(H52=0,0,IF(AND(((O52/12)/2-N(I52))&gt;0,H52&lt;=S52*((O52/12)/2-N(I52))),H52/((O52/12)/2-N(I52)),IF(((O52/12)-N(I52))&lt;=0,999,S52+(H52-S52*((O52/12)/2-N(I52)))/((O52/12)-N(I52))))))</f>
        <v/>
      </c>
      <c r="AB52" s="43" t="str">
        <f aca="false">IF(OR(T52="",H52=""),"",IF(H52=0,0,IF(AND(((T52/12)/2-N(I52))&gt;0,H52&lt;=S52*((T52/12)/2-N(I52))),H52/((T52/12)/2-N(I52)),IF(((T52/12)-N(I52))&lt;=0,999,S52+(H52-S52*((T52/12)/2-N(I52)))/((T52/12)-N(I52))))))</f>
        <v/>
      </c>
      <c r="AC52" s="19" t="str">
        <f aca="false">'AVALIAÇÃO MAPA'!AW52</f>
        <v/>
      </c>
      <c r="AD52" s="19" t="n">
        <f aca="false">IF(OR(AC52="A",AC52="IA"),1,0)</f>
        <v>0</v>
      </c>
    </row>
    <row r="53" customFormat="false" ht="15" hidden="false" customHeight="false" outlineLevel="0" collapsed="false">
      <c r="A53" s="15" t="n">
        <v>48</v>
      </c>
      <c r="B53" s="18" t="str">
        <f aca="false">'AVALIAÇÃO MAPA'!B53</f>
        <v/>
      </c>
      <c r="C53" s="15" t="str">
        <f aca="false">'AVALIAÇÃO MAPA'!AS53</f>
        <v/>
      </c>
      <c r="D53" s="38" t="str">
        <f aca="false">'AVALIAÇÃO MAPA'!AN53</f>
        <v/>
      </c>
      <c r="E53" s="16"/>
      <c r="F53" s="16"/>
      <c r="G53" s="39"/>
      <c r="H53" s="24"/>
      <c r="I53" s="24"/>
      <c r="J53" s="16"/>
      <c r="K53" s="16"/>
      <c r="L53" s="16"/>
      <c r="M53" s="39"/>
      <c r="N53" s="16"/>
      <c r="O53" s="27" t="str">
        <f aca="false">'AVALIAÇÃO MAPA'!BB53</f>
        <v/>
      </c>
      <c r="P53" s="27" t="str">
        <f aca="false">'AVALIAÇÃO MAPA'!AZ53</f>
        <v/>
      </c>
      <c r="Q53" s="27" t="str">
        <f aca="false">'AVALIAÇÃO MAPA'!BA53</f>
        <v/>
      </c>
      <c r="R53" s="38" t="str">
        <f aca="false">IF('AVALIAÇÃO MAPA'!BC53="","",'AVALIAÇÃO MAPA'!BC53/12)</f>
        <v/>
      </c>
      <c r="S53" s="38" t="n">
        <f aca="false">IF(J53&lt;&gt;"",J53,Transicao_Padrao)</f>
        <v>2</v>
      </c>
      <c r="T53" s="27" t="str">
        <f aca="false">IF(O53="","",P53+IF(AND(OR(K53="Receita",K53="Contratação evitada",K53="Horas extras"),L53&lt;&gt;"",M53&lt;&gt;""),Q53,0))</f>
        <v/>
      </c>
      <c r="U53" s="40" t="str">
        <f aca="false">IF(AA53="","",IF(AA53&gt;Limite_Payback,"acima de "&amp;Limite_Payback&amp;" meses",AA53))</f>
        <v/>
      </c>
      <c r="V53" s="40" t="str">
        <f aca="false">IF(AB53="","",IF(AB53&gt;Limite_Payback,"acima de "&amp;Limite_Payback&amp;" meses",AB53))</f>
        <v/>
      </c>
      <c r="W53" s="18" t="str">
        <f aca="false">IF(T53="","",IF(T53&gt;P53,"Inclui efeito em caixa + capacidade com destino financeiro comprovável","Somente efeito em caixa"))</f>
        <v/>
      </c>
      <c r="X53" s="41" t="str">
        <f aca="false">IF(OR(O53="",E53="",E53="Fora"),"",MIN(12,S53)*((O53/12)/2-N(I53))+MAX(0,12-S53)*((O53/12)-N(I53))-N(H53))</f>
        <v/>
      </c>
      <c r="Y53" s="41" t="str">
        <f aca="false">IF(OR(O53="",E53="",E53="Fora"),"",MIN(24,S53)*((O53/12)/2-N(I53))+MAX(0,24-S53)*((O53/12)-N(I53))-N(H53))</f>
        <v/>
      </c>
      <c r="Z53" s="42" t="str">
        <f aca="false">IF(OR(E53="",E53="Fora"),"",IF(AND(E53="Onda 1",'AVALIAÇÃO MAPA'!AP53="SIM"),"Processo com trava na Onda 1. ","")&amp;IF(AND(E53="Onda 1",'AVALIAÇÃO MAPA'!AR53="SIM",AC53&lt;&gt;"P"),"Rota P sem o degrau P na simulação. ","")&amp;IF(AND(AD53=1,SUMIFS($AD$6:$AD$105,$E$6:$E$105,E53)&gt;2),"Mais de 2 projetos de automação nesta onda. ","")&amp;IF(AND(C53="Projeto estratégico",OR(N53="Protótipo",N53="Paralelo"),COUNTIFS($C$6:$C$105,"Projeto estratégico",$N$6:$N$105,"Protótipo")+COUNTIFS($C$6:$C$105,"Projeto estratégico",$N$6:$N$105,"Paralelo")&gt;1),"Mais de 1 projeto estratégico em execução. ","")&amp;IF(AND(N(Q53)&gt;0,OR(K53="",K53="Sem destino")),"Defina o destino das horas liberadas. ",""))</f>
        <v/>
      </c>
      <c r="AA53" s="43" t="str">
        <f aca="false">IF(OR(O53="",H53=""),"",IF(H53=0,0,IF(AND(((O53/12)/2-N(I53))&gt;0,H53&lt;=S53*((O53/12)/2-N(I53))),H53/((O53/12)/2-N(I53)),IF(((O53/12)-N(I53))&lt;=0,999,S53+(H53-S53*((O53/12)/2-N(I53)))/((O53/12)-N(I53))))))</f>
        <v/>
      </c>
      <c r="AB53" s="43" t="str">
        <f aca="false">IF(OR(T53="",H53=""),"",IF(H53=0,0,IF(AND(((T53/12)/2-N(I53))&gt;0,H53&lt;=S53*((T53/12)/2-N(I53))),H53/((T53/12)/2-N(I53)),IF(((T53/12)-N(I53))&lt;=0,999,S53+(H53-S53*((T53/12)/2-N(I53)))/((T53/12)-N(I53))))))</f>
        <v/>
      </c>
      <c r="AC53" s="19" t="str">
        <f aca="false">'AVALIAÇÃO MAPA'!AW53</f>
        <v/>
      </c>
      <c r="AD53" s="19" t="n">
        <f aca="false">IF(OR(AC53="A",AC53="IA"),1,0)</f>
        <v>0</v>
      </c>
    </row>
    <row r="54" customFormat="false" ht="15" hidden="false" customHeight="false" outlineLevel="0" collapsed="false">
      <c r="A54" s="15" t="n">
        <v>49</v>
      </c>
      <c r="B54" s="18" t="str">
        <f aca="false">'AVALIAÇÃO MAPA'!B54</f>
        <v/>
      </c>
      <c r="C54" s="15" t="str">
        <f aca="false">'AVALIAÇÃO MAPA'!AS54</f>
        <v/>
      </c>
      <c r="D54" s="38" t="str">
        <f aca="false">'AVALIAÇÃO MAPA'!AN54</f>
        <v/>
      </c>
      <c r="E54" s="16"/>
      <c r="F54" s="16"/>
      <c r="G54" s="39"/>
      <c r="H54" s="24"/>
      <c r="I54" s="24"/>
      <c r="J54" s="16"/>
      <c r="K54" s="16"/>
      <c r="L54" s="16"/>
      <c r="M54" s="39"/>
      <c r="N54" s="16"/>
      <c r="O54" s="27" t="str">
        <f aca="false">'AVALIAÇÃO MAPA'!BB54</f>
        <v/>
      </c>
      <c r="P54" s="27" t="str">
        <f aca="false">'AVALIAÇÃO MAPA'!AZ54</f>
        <v/>
      </c>
      <c r="Q54" s="27" t="str">
        <f aca="false">'AVALIAÇÃO MAPA'!BA54</f>
        <v/>
      </c>
      <c r="R54" s="38" t="str">
        <f aca="false">IF('AVALIAÇÃO MAPA'!BC54="","",'AVALIAÇÃO MAPA'!BC54/12)</f>
        <v/>
      </c>
      <c r="S54" s="38" t="n">
        <f aca="false">IF(J54&lt;&gt;"",J54,Transicao_Padrao)</f>
        <v>2</v>
      </c>
      <c r="T54" s="27" t="str">
        <f aca="false">IF(O54="","",P54+IF(AND(OR(K54="Receita",K54="Contratação evitada",K54="Horas extras"),L54&lt;&gt;"",M54&lt;&gt;""),Q54,0))</f>
        <v/>
      </c>
      <c r="U54" s="40" t="str">
        <f aca="false">IF(AA54="","",IF(AA54&gt;Limite_Payback,"acima de "&amp;Limite_Payback&amp;" meses",AA54))</f>
        <v/>
      </c>
      <c r="V54" s="40" t="str">
        <f aca="false">IF(AB54="","",IF(AB54&gt;Limite_Payback,"acima de "&amp;Limite_Payback&amp;" meses",AB54))</f>
        <v/>
      </c>
      <c r="W54" s="18" t="str">
        <f aca="false">IF(T54="","",IF(T54&gt;P54,"Inclui efeito em caixa + capacidade com destino financeiro comprovável","Somente efeito em caixa"))</f>
        <v/>
      </c>
      <c r="X54" s="41" t="str">
        <f aca="false">IF(OR(O54="",E54="",E54="Fora"),"",MIN(12,S54)*((O54/12)/2-N(I54))+MAX(0,12-S54)*((O54/12)-N(I54))-N(H54))</f>
        <v/>
      </c>
      <c r="Y54" s="41" t="str">
        <f aca="false">IF(OR(O54="",E54="",E54="Fora"),"",MIN(24,S54)*((O54/12)/2-N(I54))+MAX(0,24-S54)*((O54/12)-N(I54))-N(H54))</f>
        <v/>
      </c>
      <c r="Z54" s="42" t="str">
        <f aca="false">IF(OR(E54="",E54="Fora"),"",IF(AND(E54="Onda 1",'AVALIAÇÃO MAPA'!AP54="SIM"),"Processo com trava na Onda 1. ","")&amp;IF(AND(E54="Onda 1",'AVALIAÇÃO MAPA'!AR54="SIM",AC54&lt;&gt;"P"),"Rota P sem o degrau P na simulação. ","")&amp;IF(AND(AD54=1,SUMIFS($AD$6:$AD$105,$E$6:$E$105,E54)&gt;2),"Mais de 2 projetos de automação nesta onda. ","")&amp;IF(AND(C54="Projeto estratégico",OR(N54="Protótipo",N54="Paralelo"),COUNTIFS($C$6:$C$105,"Projeto estratégico",$N$6:$N$105,"Protótipo")+COUNTIFS($C$6:$C$105,"Projeto estratégico",$N$6:$N$105,"Paralelo")&gt;1),"Mais de 1 projeto estratégico em execução. ","")&amp;IF(AND(N(Q54)&gt;0,OR(K54="",K54="Sem destino")),"Defina o destino das horas liberadas. ",""))</f>
        <v/>
      </c>
      <c r="AA54" s="43" t="str">
        <f aca="false">IF(OR(O54="",H54=""),"",IF(H54=0,0,IF(AND(((O54/12)/2-N(I54))&gt;0,H54&lt;=S54*((O54/12)/2-N(I54))),H54/((O54/12)/2-N(I54)),IF(((O54/12)-N(I54))&lt;=0,999,S54+(H54-S54*((O54/12)/2-N(I54)))/((O54/12)-N(I54))))))</f>
        <v/>
      </c>
      <c r="AB54" s="43" t="str">
        <f aca="false">IF(OR(T54="",H54=""),"",IF(H54=0,0,IF(AND(((T54/12)/2-N(I54))&gt;0,H54&lt;=S54*((T54/12)/2-N(I54))),H54/((T54/12)/2-N(I54)),IF(((T54/12)-N(I54))&lt;=0,999,S54+(H54-S54*((T54/12)/2-N(I54)))/((T54/12)-N(I54))))))</f>
        <v/>
      </c>
      <c r="AC54" s="19" t="str">
        <f aca="false">'AVALIAÇÃO MAPA'!AW54</f>
        <v/>
      </c>
      <c r="AD54" s="19" t="n">
        <f aca="false">IF(OR(AC54="A",AC54="IA"),1,0)</f>
        <v>0</v>
      </c>
    </row>
    <row r="55" customFormat="false" ht="15" hidden="false" customHeight="false" outlineLevel="0" collapsed="false">
      <c r="A55" s="15" t="n">
        <v>50</v>
      </c>
      <c r="B55" s="18" t="str">
        <f aca="false">'AVALIAÇÃO MAPA'!B55</f>
        <v/>
      </c>
      <c r="C55" s="15" t="str">
        <f aca="false">'AVALIAÇÃO MAPA'!AS55</f>
        <v/>
      </c>
      <c r="D55" s="38" t="str">
        <f aca="false">'AVALIAÇÃO MAPA'!AN55</f>
        <v/>
      </c>
      <c r="E55" s="16"/>
      <c r="F55" s="16"/>
      <c r="G55" s="39"/>
      <c r="H55" s="24"/>
      <c r="I55" s="24"/>
      <c r="J55" s="16"/>
      <c r="K55" s="16"/>
      <c r="L55" s="16"/>
      <c r="M55" s="39"/>
      <c r="N55" s="16"/>
      <c r="O55" s="27" t="str">
        <f aca="false">'AVALIAÇÃO MAPA'!BB55</f>
        <v/>
      </c>
      <c r="P55" s="27" t="str">
        <f aca="false">'AVALIAÇÃO MAPA'!AZ55</f>
        <v/>
      </c>
      <c r="Q55" s="27" t="str">
        <f aca="false">'AVALIAÇÃO MAPA'!BA55</f>
        <v/>
      </c>
      <c r="R55" s="38" t="str">
        <f aca="false">IF('AVALIAÇÃO MAPA'!BC55="","",'AVALIAÇÃO MAPA'!BC55/12)</f>
        <v/>
      </c>
      <c r="S55" s="38" t="n">
        <f aca="false">IF(J55&lt;&gt;"",J55,Transicao_Padrao)</f>
        <v>2</v>
      </c>
      <c r="T55" s="27" t="str">
        <f aca="false">IF(O55="","",P55+IF(AND(OR(K55="Receita",K55="Contratação evitada",K55="Horas extras"),L55&lt;&gt;"",M55&lt;&gt;""),Q55,0))</f>
        <v/>
      </c>
      <c r="U55" s="40" t="str">
        <f aca="false">IF(AA55="","",IF(AA55&gt;Limite_Payback,"acima de "&amp;Limite_Payback&amp;" meses",AA55))</f>
        <v/>
      </c>
      <c r="V55" s="40" t="str">
        <f aca="false">IF(AB55="","",IF(AB55&gt;Limite_Payback,"acima de "&amp;Limite_Payback&amp;" meses",AB55))</f>
        <v/>
      </c>
      <c r="W55" s="18" t="str">
        <f aca="false">IF(T55="","",IF(T55&gt;P55,"Inclui efeito em caixa + capacidade com destino financeiro comprovável","Somente efeito em caixa"))</f>
        <v/>
      </c>
      <c r="X55" s="41" t="str">
        <f aca="false">IF(OR(O55="",E55="",E55="Fora"),"",MIN(12,S55)*((O55/12)/2-N(I55))+MAX(0,12-S55)*((O55/12)-N(I55))-N(H55))</f>
        <v/>
      </c>
      <c r="Y55" s="41" t="str">
        <f aca="false">IF(OR(O55="",E55="",E55="Fora"),"",MIN(24,S55)*((O55/12)/2-N(I55))+MAX(0,24-S55)*((O55/12)-N(I55))-N(H55))</f>
        <v/>
      </c>
      <c r="Z55" s="42" t="str">
        <f aca="false">IF(OR(E55="",E55="Fora"),"",IF(AND(E55="Onda 1",'AVALIAÇÃO MAPA'!AP55="SIM"),"Processo com trava na Onda 1. ","")&amp;IF(AND(E55="Onda 1",'AVALIAÇÃO MAPA'!AR55="SIM",AC55&lt;&gt;"P"),"Rota P sem o degrau P na simulação. ","")&amp;IF(AND(AD55=1,SUMIFS($AD$6:$AD$105,$E$6:$E$105,E55)&gt;2),"Mais de 2 projetos de automação nesta onda. ","")&amp;IF(AND(C55="Projeto estratégico",OR(N55="Protótipo",N55="Paralelo"),COUNTIFS($C$6:$C$105,"Projeto estratégico",$N$6:$N$105,"Protótipo")+COUNTIFS($C$6:$C$105,"Projeto estratégico",$N$6:$N$105,"Paralelo")&gt;1),"Mais de 1 projeto estratégico em execução. ","")&amp;IF(AND(N(Q55)&gt;0,OR(K55="",K55="Sem destino")),"Defina o destino das horas liberadas. ",""))</f>
        <v/>
      </c>
      <c r="AA55" s="43" t="str">
        <f aca="false">IF(OR(O55="",H55=""),"",IF(H55=0,0,IF(AND(((O55/12)/2-N(I55))&gt;0,H55&lt;=S55*((O55/12)/2-N(I55))),H55/((O55/12)/2-N(I55)),IF(((O55/12)-N(I55))&lt;=0,999,S55+(H55-S55*((O55/12)/2-N(I55)))/((O55/12)-N(I55))))))</f>
        <v/>
      </c>
      <c r="AB55" s="43" t="str">
        <f aca="false">IF(OR(T55="",H55=""),"",IF(H55=0,0,IF(AND(((T55/12)/2-N(I55))&gt;0,H55&lt;=S55*((T55/12)/2-N(I55))),H55/((T55/12)/2-N(I55)),IF(((T55/12)-N(I55))&lt;=0,999,S55+(H55-S55*((T55/12)/2-N(I55)))/((T55/12)-N(I55))))))</f>
        <v/>
      </c>
      <c r="AC55" s="19" t="str">
        <f aca="false">'AVALIAÇÃO MAPA'!AW55</f>
        <v/>
      </c>
      <c r="AD55" s="19" t="n">
        <f aca="false">IF(OR(AC55="A",AC55="IA"),1,0)</f>
        <v>0</v>
      </c>
    </row>
    <row r="56" customFormat="false" ht="15" hidden="false" customHeight="false" outlineLevel="0" collapsed="false">
      <c r="A56" s="15" t="n">
        <v>51</v>
      </c>
      <c r="B56" s="18" t="str">
        <f aca="false">'AVALIAÇÃO MAPA'!B56</f>
        <v/>
      </c>
      <c r="C56" s="15" t="str">
        <f aca="false">'AVALIAÇÃO MAPA'!AS56</f>
        <v/>
      </c>
      <c r="D56" s="38" t="str">
        <f aca="false">'AVALIAÇÃO MAPA'!AN56</f>
        <v/>
      </c>
      <c r="E56" s="16"/>
      <c r="F56" s="16"/>
      <c r="G56" s="39"/>
      <c r="H56" s="24"/>
      <c r="I56" s="24"/>
      <c r="J56" s="16"/>
      <c r="K56" s="16"/>
      <c r="L56" s="16"/>
      <c r="M56" s="39"/>
      <c r="N56" s="16"/>
      <c r="O56" s="27" t="str">
        <f aca="false">'AVALIAÇÃO MAPA'!BB56</f>
        <v/>
      </c>
      <c r="P56" s="27" t="str">
        <f aca="false">'AVALIAÇÃO MAPA'!AZ56</f>
        <v/>
      </c>
      <c r="Q56" s="27" t="str">
        <f aca="false">'AVALIAÇÃO MAPA'!BA56</f>
        <v/>
      </c>
      <c r="R56" s="38" t="str">
        <f aca="false">IF('AVALIAÇÃO MAPA'!BC56="","",'AVALIAÇÃO MAPA'!BC56/12)</f>
        <v/>
      </c>
      <c r="S56" s="38" t="n">
        <f aca="false">IF(J56&lt;&gt;"",J56,Transicao_Padrao)</f>
        <v>2</v>
      </c>
      <c r="T56" s="27" t="str">
        <f aca="false">IF(O56="","",P56+IF(AND(OR(K56="Receita",K56="Contratação evitada",K56="Horas extras"),L56&lt;&gt;"",M56&lt;&gt;""),Q56,0))</f>
        <v/>
      </c>
      <c r="U56" s="40" t="str">
        <f aca="false">IF(AA56="","",IF(AA56&gt;Limite_Payback,"acima de "&amp;Limite_Payback&amp;" meses",AA56))</f>
        <v/>
      </c>
      <c r="V56" s="40" t="str">
        <f aca="false">IF(AB56="","",IF(AB56&gt;Limite_Payback,"acima de "&amp;Limite_Payback&amp;" meses",AB56))</f>
        <v/>
      </c>
      <c r="W56" s="18" t="str">
        <f aca="false">IF(T56="","",IF(T56&gt;P56,"Inclui efeito em caixa + capacidade com destino financeiro comprovável","Somente efeito em caixa"))</f>
        <v/>
      </c>
      <c r="X56" s="41" t="str">
        <f aca="false">IF(OR(O56="",E56="",E56="Fora"),"",MIN(12,S56)*((O56/12)/2-N(I56))+MAX(0,12-S56)*((O56/12)-N(I56))-N(H56))</f>
        <v/>
      </c>
      <c r="Y56" s="41" t="str">
        <f aca="false">IF(OR(O56="",E56="",E56="Fora"),"",MIN(24,S56)*((O56/12)/2-N(I56))+MAX(0,24-S56)*((O56/12)-N(I56))-N(H56))</f>
        <v/>
      </c>
      <c r="Z56" s="42" t="str">
        <f aca="false">IF(OR(E56="",E56="Fora"),"",IF(AND(E56="Onda 1",'AVALIAÇÃO MAPA'!AP56="SIM"),"Processo com trava na Onda 1. ","")&amp;IF(AND(E56="Onda 1",'AVALIAÇÃO MAPA'!AR56="SIM",AC56&lt;&gt;"P"),"Rota P sem o degrau P na simulação. ","")&amp;IF(AND(AD56=1,SUMIFS($AD$6:$AD$105,$E$6:$E$105,E56)&gt;2),"Mais de 2 projetos de automação nesta onda. ","")&amp;IF(AND(C56="Projeto estratégico",OR(N56="Protótipo",N56="Paralelo"),COUNTIFS($C$6:$C$105,"Projeto estratégico",$N$6:$N$105,"Protótipo")+COUNTIFS($C$6:$C$105,"Projeto estratégico",$N$6:$N$105,"Paralelo")&gt;1),"Mais de 1 projeto estratégico em execução. ","")&amp;IF(AND(N(Q56)&gt;0,OR(K56="",K56="Sem destino")),"Defina o destino das horas liberadas. ",""))</f>
        <v/>
      </c>
      <c r="AA56" s="43" t="str">
        <f aca="false">IF(OR(O56="",H56=""),"",IF(H56=0,0,IF(AND(((O56/12)/2-N(I56))&gt;0,H56&lt;=S56*((O56/12)/2-N(I56))),H56/((O56/12)/2-N(I56)),IF(((O56/12)-N(I56))&lt;=0,999,S56+(H56-S56*((O56/12)/2-N(I56)))/((O56/12)-N(I56))))))</f>
        <v/>
      </c>
      <c r="AB56" s="43" t="str">
        <f aca="false">IF(OR(T56="",H56=""),"",IF(H56=0,0,IF(AND(((T56/12)/2-N(I56))&gt;0,H56&lt;=S56*((T56/12)/2-N(I56))),H56/((T56/12)/2-N(I56)),IF(((T56/12)-N(I56))&lt;=0,999,S56+(H56-S56*((T56/12)/2-N(I56)))/((T56/12)-N(I56))))))</f>
        <v/>
      </c>
      <c r="AC56" s="19" t="str">
        <f aca="false">'AVALIAÇÃO MAPA'!AW56</f>
        <v/>
      </c>
      <c r="AD56" s="19" t="n">
        <f aca="false">IF(OR(AC56="A",AC56="IA"),1,0)</f>
        <v>0</v>
      </c>
    </row>
    <row r="57" customFormat="false" ht="15" hidden="false" customHeight="false" outlineLevel="0" collapsed="false">
      <c r="A57" s="15" t="n">
        <v>52</v>
      </c>
      <c r="B57" s="18" t="str">
        <f aca="false">'AVALIAÇÃO MAPA'!B57</f>
        <v/>
      </c>
      <c r="C57" s="15" t="str">
        <f aca="false">'AVALIAÇÃO MAPA'!AS57</f>
        <v/>
      </c>
      <c r="D57" s="38" t="str">
        <f aca="false">'AVALIAÇÃO MAPA'!AN57</f>
        <v/>
      </c>
      <c r="E57" s="16"/>
      <c r="F57" s="16"/>
      <c r="G57" s="39"/>
      <c r="H57" s="24"/>
      <c r="I57" s="24"/>
      <c r="J57" s="16"/>
      <c r="K57" s="16"/>
      <c r="L57" s="16"/>
      <c r="M57" s="39"/>
      <c r="N57" s="16"/>
      <c r="O57" s="27" t="str">
        <f aca="false">'AVALIAÇÃO MAPA'!BB57</f>
        <v/>
      </c>
      <c r="P57" s="27" t="str">
        <f aca="false">'AVALIAÇÃO MAPA'!AZ57</f>
        <v/>
      </c>
      <c r="Q57" s="27" t="str">
        <f aca="false">'AVALIAÇÃO MAPA'!BA57</f>
        <v/>
      </c>
      <c r="R57" s="38" t="str">
        <f aca="false">IF('AVALIAÇÃO MAPA'!BC57="","",'AVALIAÇÃO MAPA'!BC57/12)</f>
        <v/>
      </c>
      <c r="S57" s="38" t="n">
        <f aca="false">IF(J57&lt;&gt;"",J57,Transicao_Padrao)</f>
        <v>2</v>
      </c>
      <c r="T57" s="27" t="str">
        <f aca="false">IF(O57="","",P57+IF(AND(OR(K57="Receita",K57="Contratação evitada",K57="Horas extras"),L57&lt;&gt;"",M57&lt;&gt;""),Q57,0))</f>
        <v/>
      </c>
      <c r="U57" s="40" t="str">
        <f aca="false">IF(AA57="","",IF(AA57&gt;Limite_Payback,"acima de "&amp;Limite_Payback&amp;" meses",AA57))</f>
        <v/>
      </c>
      <c r="V57" s="40" t="str">
        <f aca="false">IF(AB57="","",IF(AB57&gt;Limite_Payback,"acima de "&amp;Limite_Payback&amp;" meses",AB57))</f>
        <v/>
      </c>
      <c r="W57" s="18" t="str">
        <f aca="false">IF(T57="","",IF(T57&gt;P57,"Inclui efeito em caixa + capacidade com destino financeiro comprovável","Somente efeito em caixa"))</f>
        <v/>
      </c>
      <c r="X57" s="41" t="str">
        <f aca="false">IF(OR(O57="",E57="",E57="Fora"),"",MIN(12,S57)*((O57/12)/2-N(I57))+MAX(0,12-S57)*((O57/12)-N(I57))-N(H57))</f>
        <v/>
      </c>
      <c r="Y57" s="41" t="str">
        <f aca="false">IF(OR(O57="",E57="",E57="Fora"),"",MIN(24,S57)*((O57/12)/2-N(I57))+MAX(0,24-S57)*((O57/12)-N(I57))-N(H57))</f>
        <v/>
      </c>
      <c r="Z57" s="42" t="str">
        <f aca="false">IF(OR(E57="",E57="Fora"),"",IF(AND(E57="Onda 1",'AVALIAÇÃO MAPA'!AP57="SIM"),"Processo com trava na Onda 1. ","")&amp;IF(AND(E57="Onda 1",'AVALIAÇÃO MAPA'!AR57="SIM",AC57&lt;&gt;"P"),"Rota P sem o degrau P na simulação. ","")&amp;IF(AND(AD57=1,SUMIFS($AD$6:$AD$105,$E$6:$E$105,E57)&gt;2),"Mais de 2 projetos de automação nesta onda. ","")&amp;IF(AND(C57="Projeto estratégico",OR(N57="Protótipo",N57="Paralelo"),COUNTIFS($C$6:$C$105,"Projeto estratégico",$N$6:$N$105,"Protótipo")+COUNTIFS($C$6:$C$105,"Projeto estratégico",$N$6:$N$105,"Paralelo")&gt;1),"Mais de 1 projeto estratégico em execução. ","")&amp;IF(AND(N(Q57)&gt;0,OR(K57="",K57="Sem destino")),"Defina o destino das horas liberadas. ",""))</f>
        <v/>
      </c>
      <c r="AA57" s="43" t="str">
        <f aca="false">IF(OR(O57="",H57=""),"",IF(H57=0,0,IF(AND(((O57/12)/2-N(I57))&gt;0,H57&lt;=S57*((O57/12)/2-N(I57))),H57/((O57/12)/2-N(I57)),IF(((O57/12)-N(I57))&lt;=0,999,S57+(H57-S57*((O57/12)/2-N(I57)))/((O57/12)-N(I57))))))</f>
        <v/>
      </c>
      <c r="AB57" s="43" t="str">
        <f aca="false">IF(OR(T57="",H57=""),"",IF(H57=0,0,IF(AND(((T57/12)/2-N(I57))&gt;0,H57&lt;=S57*((T57/12)/2-N(I57))),H57/((T57/12)/2-N(I57)),IF(((T57/12)-N(I57))&lt;=0,999,S57+(H57-S57*((T57/12)/2-N(I57)))/((T57/12)-N(I57))))))</f>
        <v/>
      </c>
      <c r="AC57" s="19" t="str">
        <f aca="false">'AVALIAÇÃO MAPA'!AW57</f>
        <v/>
      </c>
      <c r="AD57" s="19" t="n">
        <f aca="false">IF(OR(AC57="A",AC57="IA"),1,0)</f>
        <v>0</v>
      </c>
    </row>
    <row r="58" customFormat="false" ht="15" hidden="false" customHeight="false" outlineLevel="0" collapsed="false">
      <c r="A58" s="15" t="n">
        <v>53</v>
      </c>
      <c r="B58" s="18" t="str">
        <f aca="false">'AVALIAÇÃO MAPA'!B58</f>
        <v/>
      </c>
      <c r="C58" s="15" t="str">
        <f aca="false">'AVALIAÇÃO MAPA'!AS58</f>
        <v/>
      </c>
      <c r="D58" s="38" t="str">
        <f aca="false">'AVALIAÇÃO MAPA'!AN58</f>
        <v/>
      </c>
      <c r="E58" s="16"/>
      <c r="F58" s="16"/>
      <c r="G58" s="39"/>
      <c r="H58" s="24"/>
      <c r="I58" s="24"/>
      <c r="J58" s="16"/>
      <c r="K58" s="16"/>
      <c r="L58" s="16"/>
      <c r="M58" s="39"/>
      <c r="N58" s="16"/>
      <c r="O58" s="27" t="str">
        <f aca="false">'AVALIAÇÃO MAPA'!BB58</f>
        <v/>
      </c>
      <c r="P58" s="27" t="str">
        <f aca="false">'AVALIAÇÃO MAPA'!AZ58</f>
        <v/>
      </c>
      <c r="Q58" s="27" t="str">
        <f aca="false">'AVALIAÇÃO MAPA'!BA58</f>
        <v/>
      </c>
      <c r="R58" s="38" t="str">
        <f aca="false">IF('AVALIAÇÃO MAPA'!BC58="","",'AVALIAÇÃO MAPA'!BC58/12)</f>
        <v/>
      </c>
      <c r="S58" s="38" t="n">
        <f aca="false">IF(J58&lt;&gt;"",J58,Transicao_Padrao)</f>
        <v>2</v>
      </c>
      <c r="T58" s="27" t="str">
        <f aca="false">IF(O58="","",P58+IF(AND(OR(K58="Receita",K58="Contratação evitada",K58="Horas extras"),L58&lt;&gt;"",M58&lt;&gt;""),Q58,0))</f>
        <v/>
      </c>
      <c r="U58" s="40" t="str">
        <f aca="false">IF(AA58="","",IF(AA58&gt;Limite_Payback,"acima de "&amp;Limite_Payback&amp;" meses",AA58))</f>
        <v/>
      </c>
      <c r="V58" s="40" t="str">
        <f aca="false">IF(AB58="","",IF(AB58&gt;Limite_Payback,"acima de "&amp;Limite_Payback&amp;" meses",AB58))</f>
        <v/>
      </c>
      <c r="W58" s="18" t="str">
        <f aca="false">IF(T58="","",IF(T58&gt;P58,"Inclui efeito em caixa + capacidade com destino financeiro comprovável","Somente efeito em caixa"))</f>
        <v/>
      </c>
      <c r="X58" s="41" t="str">
        <f aca="false">IF(OR(O58="",E58="",E58="Fora"),"",MIN(12,S58)*((O58/12)/2-N(I58))+MAX(0,12-S58)*((O58/12)-N(I58))-N(H58))</f>
        <v/>
      </c>
      <c r="Y58" s="41" t="str">
        <f aca="false">IF(OR(O58="",E58="",E58="Fora"),"",MIN(24,S58)*((O58/12)/2-N(I58))+MAX(0,24-S58)*((O58/12)-N(I58))-N(H58))</f>
        <v/>
      </c>
      <c r="Z58" s="42" t="str">
        <f aca="false">IF(OR(E58="",E58="Fora"),"",IF(AND(E58="Onda 1",'AVALIAÇÃO MAPA'!AP58="SIM"),"Processo com trava na Onda 1. ","")&amp;IF(AND(E58="Onda 1",'AVALIAÇÃO MAPA'!AR58="SIM",AC58&lt;&gt;"P"),"Rota P sem o degrau P na simulação. ","")&amp;IF(AND(AD58=1,SUMIFS($AD$6:$AD$105,$E$6:$E$105,E58)&gt;2),"Mais de 2 projetos de automação nesta onda. ","")&amp;IF(AND(C58="Projeto estratégico",OR(N58="Protótipo",N58="Paralelo"),COUNTIFS($C$6:$C$105,"Projeto estratégico",$N$6:$N$105,"Protótipo")+COUNTIFS($C$6:$C$105,"Projeto estratégico",$N$6:$N$105,"Paralelo")&gt;1),"Mais de 1 projeto estratégico em execução. ","")&amp;IF(AND(N(Q58)&gt;0,OR(K58="",K58="Sem destino")),"Defina o destino das horas liberadas. ",""))</f>
        <v/>
      </c>
      <c r="AA58" s="43" t="str">
        <f aca="false">IF(OR(O58="",H58=""),"",IF(H58=0,0,IF(AND(((O58/12)/2-N(I58))&gt;0,H58&lt;=S58*((O58/12)/2-N(I58))),H58/((O58/12)/2-N(I58)),IF(((O58/12)-N(I58))&lt;=0,999,S58+(H58-S58*((O58/12)/2-N(I58)))/((O58/12)-N(I58))))))</f>
        <v/>
      </c>
      <c r="AB58" s="43" t="str">
        <f aca="false">IF(OR(T58="",H58=""),"",IF(H58=0,0,IF(AND(((T58/12)/2-N(I58))&gt;0,H58&lt;=S58*((T58/12)/2-N(I58))),H58/((T58/12)/2-N(I58)),IF(((T58/12)-N(I58))&lt;=0,999,S58+(H58-S58*((T58/12)/2-N(I58)))/((T58/12)-N(I58))))))</f>
        <v/>
      </c>
      <c r="AC58" s="19" t="str">
        <f aca="false">'AVALIAÇÃO MAPA'!AW58</f>
        <v/>
      </c>
      <c r="AD58" s="19" t="n">
        <f aca="false">IF(OR(AC58="A",AC58="IA"),1,0)</f>
        <v>0</v>
      </c>
    </row>
    <row r="59" customFormat="false" ht="15" hidden="false" customHeight="false" outlineLevel="0" collapsed="false">
      <c r="A59" s="15" t="n">
        <v>54</v>
      </c>
      <c r="B59" s="18" t="str">
        <f aca="false">'AVALIAÇÃO MAPA'!B59</f>
        <v/>
      </c>
      <c r="C59" s="15" t="str">
        <f aca="false">'AVALIAÇÃO MAPA'!AS59</f>
        <v/>
      </c>
      <c r="D59" s="38" t="str">
        <f aca="false">'AVALIAÇÃO MAPA'!AN59</f>
        <v/>
      </c>
      <c r="E59" s="16"/>
      <c r="F59" s="16"/>
      <c r="G59" s="39"/>
      <c r="H59" s="24"/>
      <c r="I59" s="24"/>
      <c r="J59" s="16"/>
      <c r="K59" s="16"/>
      <c r="L59" s="16"/>
      <c r="M59" s="39"/>
      <c r="N59" s="16"/>
      <c r="O59" s="27" t="str">
        <f aca="false">'AVALIAÇÃO MAPA'!BB59</f>
        <v/>
      </c>
      <c r="P59" s="27" t="str">
        <f aca="false">'AVALIAÇÃO MAPA'!AZ59</f>
        <v/>
      </c>
      <c r="Q59" s="27" t="str">
        <f aca="false">'AVALIAÇÃO MAPA'!BA59</f>
        <v/>
      </c>
      <c r="R59" s="38" t="str">
        <f aca="false">IF('AVALIAÇÃO MAPA'!BC59="","",'AVALIAÇÃO MAPA'!BC59/12)</f>
        <v/>
      </c>
      <c r="S59" s="38" t="n">
        <f aca="false">IF(J59&lt;&gt;"",J59,Transicao_Padrao)</f>
        <v>2</v>
      </c>
      <c r="T59" s="27" t="str">
        <f aca="false">IF(O59="","",P59+IF(AND(OR(K59="Receita",K59="Contratação evitada",K59="Horas extras"),L59&lt;&gt;"",M59&lt;&gt;""),Q59,0))</f>
        <v/>
      </c>
      <c r="U59" s="40" t="str">
        <f aca="false">IF(AA59="","",IF(AA59&gt;Limite_Payback,"acima de "&amp;Limite_Payback&amp;" meses",AA59))</f>
        <v/>
      </c>
      <c r="V59" s="40" t="str">
        <f aca="false">IF(AB59="","",IF(AB59&gt;Limite_Payback,"acima de "&amp;Limite_Payback&amp;" meses",AB59))</f>
        <v/>
      </c>
      <c r="W59" s="18" t="str">
        <f aca="false">IF(T59="","",IF(T59&gt;P59,"Inclui efeito em caixa + capacidade com destino financeiro comprovável","Somente efeito em caixa"))</f>
        <v/>
      </c>
      <c r="X59" s="41" t="str">
        <f aca="false">IF(OR(O59="",E59="",E59="Fora"),"",MIN(12,S59)*((O59/12)/2-N(I59))+MAX(0,12-S59)*((O59/12)-N(I59))-N(H59))</f>
        <v/>
      </c>
      <c r="Y59" s="41" t="str">
        <f aca="false">IF(OR(O59="",E59="",E59="Fora"),"",MIN(24,S59)*((O59/12)/2-N(I59))+MAX(0,24-S59)*((O59/12)-N(I59))-N(H59))</f>
        <v/>
      </c>
      <c r="Z59" s="42" t="str">
        <f aca="false">IF(OR(E59="",E59="Fora"),"",IF(AND(E59="Onda 1",'AVALIAÇÃO MAPA'!AP59="SIM"),"Processo com trava na Onda 1. ","")&amp;IF(AND(E59="Onda 1",'AVALIAÇÃO MAPA'!AR59="SIM",AC59&lt;&gt;"P"),"Rota P sem o degrau P na simulação. ","")&amp;IF(AND(AD59=1,SUMIFS($AD$6:$AD$105,$E$6:$E$105,E59)&gt;2),"Mais de 2 projetos de automação nesta onda. ","")&amp;IF(AND(C59="Projeto estratégico",OR(N59="Protótipo",N59="Paralelo"),COUNTIFS($C$6:$C$105,"Projeto estratégico",$N$6:$N$105,"Protótipo")+COUNTIFS($C$6:$C$105,"Projeto estratégico",$N$6:$N$105,"Paralelo")&gt;1),"Mais de 1 projeto estratégico em execução. ","")&amp;IF(AND(N(Q59)&gt;0,OR(K59="",K59="Sem destino")),"Defina o destino das horas liberadas. ",""))</f>
        <v/>
      </c>
      <c r="AA59" s="43" t="str">
        <f aca="false">IF(OR(O59="",H59=""),"",IF(H59=0,0,IF(AND(((O59/12)/2-N(I59))&gt;0,H59&lt;=S59*((O59/12)/2-N(I59))),H59/((O59/12)/2-N(I59)),IF(((O59/12)-N(I59))&lt;=0,999,S59+(H59-S59*((O59/12)/2-N(I59)))/((O59/12)-N(I59))))))</f>
        <v/>
      </c>
      <c r="AB59" s="43" t="str">
        <f aca="false">IF(OR(T59="",H59=""),"",IF(H59=0,0,IF(AND(((T59/12)/2-N(I59))&gt;0,H59&lt;=S59*((T59/12)/2-N(I59))),H59/((T59/12)/2-N(I59)),IF(((T59/12)-N(I59))&lt;=0,999,S59+(H59-S59*((T59/12)/2-N(I59)))/((T59/12)-N(I59))))))</f>
        <v/>
      </c>
      <c r="AC59" s="19" t="str">
        <f aca="false">'AVALIAÇÃO MAPA'!AW59</f>
        <v/>
      </c>
      <c r="AD59" s="19" t="n">
        <f aca="false">IF(OR(AC59="A",AC59="IA"),1,0)</f>
        <v>0</v>
      </c>
    </row>
    <row r="60" customFormat="false" ht="15" hidden="false" customHeight="false" outlineLevel="0" collapsed="false">
      <c r="A60" s="15" t="n">
        <v>55</v>
      </c>
      <c r="B60" s="18" t="str">
        <f aca="false">'AVALIAÇÃO MAPA'!B60</f>
        <v/>
      </c>
      <c r="C60" s="15" t="str">
        <f aca="false">'AVALIAÇÃO MAPA'!AS60</f>
        <v/>
      </c>
      <c r="D60" s="38" t="str">
        <f aca="false">'AVALIAÇÃO MAPA'!AN60</f>
        <v/>
      </c>
      <c r="E60" s="16"/>
      <c r="F60" s="16"/>
      <c r="G60" s="39"/>
      <c r="H60" s="24"/>
      <c r="I60" s="24"/>
      <c r="J60" s="16"/>
      <c r="K60" s="16"/>
      <c r="L60" s="16"/>
      <c r="M60" s="39"/>
      <c r="N60" s="16"/>
      <c r="O60" s="27" t="str">
        <f aca="false">'AVALIAÇÃO MAPA'!BB60</f>
        <v/>
      </c>
      <c r="P60" s="27" t="str">
        <f aca="false">'AVALIAÇÃO MAPA'!AZ60</f>
        <v/>
      </c>
      <c r="Q60" s="27" t="str">
        <f aca="false">'AVALIAÇÃO MAPA'!BA60</f>
        <v/>
      </c>
      <c r="R60" s="38" t="str">
        <f aca="false">IF('AVALIAÇÃO MAPA'!BC60="","",'AVALIAÇÃO MAPA'!BC60/12)</f>
        <v/>
      </c>
      <c r="S60" s="38" t="n">
        <f aca="false">IF(J60&lt;&gt;"",J60,Transicao_Padrao)</f>
        <v>2</v>
      </c>
      <c r="T60" s="27" t="str">
        <f aca="false">IF(O60="","",P60+IF(AND(OR(K60="Receita",K60="Contratação evitada",K60="Horas extras"),L60&lt;&gt;"",M60&lt;&gt;""),Q60,0))</f>
        <v/>
      </c>
      <c r="U60" s="40" t="str">
        <f aca="false">IF(AA60="","",IF(AA60&gt;Limite_Payback,"acima de "&amp;Limite_Payback&amp;" meses",AA60))</f>
        <v/>
      </c>
      <c r="V60" s="40" t="str">
        <f aca="false">IF(AB60="","",IF(AB60&gt;Limite_Payback,"acima de "&amp;Limite_Payback&amp;" meses",AB60))</f>
        <v/>
      </c>
      <c r="W60" s="18" t="str">
        <f aca="false">IF(T60="","",IF(T60&gt;P60,"Inclui efeito em caixa + capacidade com destino financeiro comprovável","Somente efeito em caixa"))</f>
        <v/>
      </c>
      <c r="X60" s="41" t="str">
        <f aca="false">IF(OR(O60="",E60="",E60="Fora"),"",MIN(12,S60)*((O60/12)/2-N(I60))+MAX(0,12-S60)*((O60/12)-N(I60))-N(H60))</f>
        <v/>
      </c>
      <c r="Y60" s="41" t="str">
        <f aca="false">IF(OR(O60="",E60="",E60="Fora"),"",MIN(24,S60)*((O60/12)/2-N(I60))+MAX(0,24-S60)*((O60/12)-N(I60))-N(H60))</f>
        <v/>
      </c>
      <c r="Z60" s="42" t="str">
        <f aca="false">IF(OR(E60="",E60="Fora"),"",IF(AND(E60="Onda 1",'AVALIAÇÃO MAPA'!AP60="SIM"),"Processo com trava na Onda 1. ","")&amp;IF(AND(E60="Onda 1",'AVALIAÇÃO MAPA'!AR60="SIM",AC60&lt;&gt;"P"),"Rota P sem o degrau P na simulação. ","")&amp;IF(AND(AD60=1,SUMIFS($AD$6:$AD$105,$E$6:$E$105,E60)&gt;2),"Mais de 2 projetos de automação nesta onda. ","")&amp;IF(AND(C60="Projeto estratégico",OR(N60="Protótipo",N60="Paralelo"),COUNTIFS($C$6:$C$105,"Projeto estratégico",$N$6:$N$105,"Protótipo")+COUNTIFS($C$6:$C$105,"Projeto estratégico",$N$6:$N$105,"Paralelo")&gt;1),"Mais de 1 projeto estratégico em execução. ","")&amp;IF(AND(N(Q60)&gt;0,OR(K60="",K60="Sem destino")),"Defina o destino das horas liberadas. ",""))</f>
        <v/>
      </c>
      <c r="AA60" s="43" t="str">
        <f aca="false">IF(OR(O60="",H60=""),"",IF(H60=0,0,IF(AND(((O60/12)/2-N(I60))&gt;0,H60&lt;=S60*((O60/12)/2-N(I60))),H60/((O60/12)/2-N(I60)),IF(((O60/12)-N(I60))&lt;=0,999,S60+(H60-S60*((O60/12)/2-N(I60)))/((O60/12)-N(I60))))))</f>
        <v/>
      </c>
      <c r="AB60" s="43" t="str">
        <f aca="false">IF(OR(T60="",H60=""),"",IF(H60=0,0,IF(AND(((T60/12)/2-N(I60))&gt;0,H60&lt;=S60*((T60/12)/2-N(I60))),H60/((T60/12)/2-N(I60)),IF(((T60/12)-N(I60))&lt;=0,999,S60+(H60-S60*((T60/12)/2-N(I60)))/((T60/12)-N(I60))))))</f>
        <v/>
      </c>
      <c r="AC60" s="19" t="str">
        <f aca="false">'AVALIAÇÃO MAPA'!AW60</f>
        <v/>
      </c>
      <c r="AD60" s="19" t="n">
        <f aca="false">IF(OR(AC60="A",AC60="IA"),1,0)</f>
        <v>0</v>
      </c>
    </row>
    <row r="61" customFormat="false" ht="15" hidden="false" customHeight="false" outlineLevel="0" collapsed="false">
      <c r="A61" s="15" t="n">
        <v>56</v>
      </c>
      <c r="B61" s="18" t="str">
        <f aca="false">'AVALIAÇÃO MAPA'!B61</f>
        <v/>
      </c>
      <c r="C61" s="15" t="str">
        <f aca="false">'AVALIAÇÃO MAPA'!AS61</f>
        <v/>
      </c>
      <c r="D61" s="38" t="str">
        <f aca="false">'AVALIAÇÃO MAPA'!AN61</f>
        <v/>
      </c>
      <c r="E61" s="16"/>
      <c r="F61" s="16"/>
      <c r="G61" s="39"/>
      <c r="H61" s="24"/>
      <c r="I61" s="24"/>
      <c r="J61" s="16"/>
      <c r="K61" s="16"/>
      <c r="L61" s="16"/>
      <c r="M61" s="39"/>
      <c r="N61" s="16"/>
      <c r="O61" s="27" t="str">
        <f aca="false">'AVALIAÇÃO MAPA'!BB61</f>
        <v/>
      </c>
      <c r="P61" s="27" t="str">
        <f aca="false">'AVALIAÇÃO MAPA'!AZ61</f>
        <v/>
      </c>
      <c r="Q61" s="27" t="str">
        <f aca="false">'AVALIAÇÃO MAPA'!BA61</f>
        <v/>
      </c>
      <c r="R61" s="38" t="str">
        <f aca="false">IF('AVALIAÇÃO MAPA'!BC61="","",'AVALIAÇÃO MAPA'!BC61/12)</f>
        <v/>
      </c>
      <c r="S61" s="38" t="n">
        <f aca="false">IF(J61&lt;&gt;"",J61,Transicao_Padrao)</f>
        <v>2</v>
      </c>
      <c r="T61" s="27" t="str">
        <f aca="false">IF(O61="","",P61+IF(AND(OR(K61="Receita",K61="Contratação evitada",K61="Horas extras"),L61&lt;&gt;"",M61&lt;&gt;""),Q61,0))</f>
        <v/>
      </c>
      <c r="U61" s="40" t="str">
        <f aca="false">IF(AA61="","",IF(AA61&gt;Limite_Payback,"acima de "&amp;Limite_Payback&amp;" meses",AA61))</f>
        <v/>
      </c>
      <c r="V61" s="40" t="str">
        <f aca="false">IF(AB61="","",IF(AB61&gt;Limite_Payback,"acima de "&amp;Limite_Payback&amp;" meses",AB61))</f>
        <v/>
      </c>
      <c r="W61" s="18" t="str">
        <f aca="false">IF(T61="","",IF(T61&gt;P61,"Inclui efeito em caixa + capacidade com destino financeiro comprovável","Somente efeito em caixa"))</f>
        <v/>
      </c>
      <c r="X61" s="41" t="str">
        <f aca="false">IF(OR(O61="",E61="",E61="Fora"),"",MIN(12,S61)*((O61/12)/2-N(I61))+MAX(0,12-S61)*((O61/12)-N(I61))-N(H61))</f>
        <v/>
      </c>
      <c r="Y61" s="41" t="str">
        <f aca="false">IF(OR(O61="",E61="",E61="Fora"),"",MIN(24,S61)*((O61/12)/2-N(I61))+MAX(0,24-S61)*((O61/12)-N(I61))-N(H61))</f>
        <v/>
      </c>
      <c r="Z61" s="42" t="str">
        <f aca="false">IF(OR(E61="",E61="Fora"),"",IF(AND(E61="Onda 1",'AVALIAÇÃO MAPA'!AP61="SIM"),"Processo com trava na Onda 1. ","")&amp;IF(AND(E61="Onda 1",'AVALIAÇÃO MAPA'!AR61="SIM",AC61&lt;&gt;"P"),"Rota P sem o degrau P na simulação. ","")&amp;IF(AND(AD61=1,SUMIFS($AD$6:$AD$105,$E$6:$E$105,E61)&gt;2),"Mais de 2 projetos de automação nesta onda. ","")&amp;IF(AND(C61="Projeto estratégico",OR(N61="Protótipo",N61="Paralelo"),COUNTIFS($C$6:$C$105,"Projeto estratégico",$N$6:$N$105,"Protótipo")+COUNTIFS($C$6:$C$105,"Projeto estratégico",$N$6:$N$105,"Paralelo")&gt;1),"Mais de 1 projeto estratégico em execução. ","")&amp;IF(AND(N(Q61)&gt;0,OR(K61="",K61="Sem destino")),"Defina o destino das horas liberadas. ",""))</f>
        <v/>
      </c>
      <c r="AA61" s="43" t="str">
        <f aca="false">IF(OR(O61="",H61=""),"",IF(H61=0,0,IF(AND(((O61/12)/2-N(I61))&gt;0,H61&lt;=S61*((O61/12)/2-N(I61))),H61/((O61/12)/2-N(I61)),IF(((O61/12)-N(I61))&lt;=0,999,S61+(H61-S61*((O61/12)/2-N(I61)))/((O61/12)-N(I61))))))</f>
        <v/>
      </c>
      <c r="AB61" s="43" t="str">
        <f aca="false">IF(OR(T61="",H61=""),"",IF(H61=0,0,IF(AND(((T61/12)/2-N(I61))&gt;0,H61&lt;=S61*((T61/12)/2-N(I61))),H61/((T61/12)/2-N(I61)),IF(((T61/12)-N(I61))&lt;=0,999,S61+(H61-S61*((T61/12)/2-N(I61)))/((T61/12)-N(I61))))))</f>
        <v/>
      </c>
      <c r="AC61" s="19" t="str">
        <f aca="false">'AVALIAÇÃO MAPA'!AW61</f>
        <v/>
      </c>
      <c r="AD61" s="19" t="n">
        <f aca="false">IF(OR(AC61="A",AC61="IA"),1,0)</f>
        <v>0</v>
      </c>
    </row>
    <row r="62" customFormat="false" ht="15" hidden="false" customHeight="false" outlineLevel="0" collapsed="false">
      <c r="A62" s="15" t="n">
        <v>57</v>
      </c>
      <c r="B62" s="18" t="str">
        <f aca="false">'AVALIAÇÃO MAPA'!B62</f>
        <v/>
      </c>
      <c r="C62" s="15" t="str">
        <f aca="false">'AVALIAÇÃO MAPA'!AS62</f>
        <v/>
      </c>
      <c r="D62" s="38" t="str">
        <f aca="false">'AVALIAÇÃO MAPA'!AN62</f>
        <v/>
      </c>
      <c r="E62" s="16"/>
      <c r="F62" s="16"/>
      <c r="G62" s="39"/>
      <c r="H62" s="24"/>
      <c r="I62" s="24"/>
      <c r="J62" s="16"/>
      <c r="K62" s="16"/>
      <c r="L62" s="16"/>
      <c r="M62" s="39"/>
      <c r="N62" s="16"/>
      <c r="O62" s="27" t="str">
        <f aca="false">'AVALIAÇÃO MAPA'!BB62</f>
        <v/>
      </c>
      <c r="P62" s="27" t="str">
        <f aca="false">'AVALIAÇÃO MAPA'!AZ62</f>
        <v/>
      </c>
      <c r="Q62" s="27" t="str">
        <f aca="false">'AVALIAÇÃO MAPA'!BA62</f>
        <v/>
      </c>
      <c r="R62" s="38" t="str">
        <f aca="false">IF('AVALIAÇÃO MAPA'!BC62="","",'AVALIAÇÃO MAPA'!BC62/12)</f>
        <v/>
      </c>
      <c r="S62" s="38" t="n">
        <f aca="false">IF(J62&lt;&gt;"",J62,Transicao_Padrao)</f>
        <v>2</v>
      </c>
      <c r="T62" s="27" t="str">
        <f aca="false">IF(O62="","",P62+IF(AND(OR(K62="Receita",K62="Contratação evitada",K62="Horas extras"),L62&lt;&gt;"",M62&lt;&gt;""),Q62,0))</f>
        <v/>
      </c>
      <c r="U62" s="40" t="str">
        <f aca="false">IF(AA62="","",IF(AA62&gt;Limite_Payback,"acima de "&amp;Limite_Payback&amp;" meses",AA62))</f>
        <v/>
      </c>
      <c r="V62" s="40" t="str">
        <f aca="false">IF(AB62="","",IF(AB62&gt;Limite_Payback,"acima de "&amp;Limite_Payback&amp;" meses",AB62))</f>
        <v/>
      </c>
      <c r="W62" s="18" t="str">
        <f aca="false">IF(T62="","",IF(T62&gt;P62,"Inclui efeito em caixa + capacidade com destino financeiro comprovável","Somente efeito em caixa"))</f>
        <v/>
      </c>
      <c r="X62" s="41" t="str">
        <f aca="false">IF(OR(O62="",E62="",E62="Fora"),"",MIN(12,S62)*((O62/12)/2-N(I62))+MAX(0,12-S62)*((O62/12)-N(I62))-N(H62))</f>
        <v/>
      </c>
      <c r="Y62" s="41" t="str">
        <f aca="false">IF(OR(O62="",E62="",E62="Fora"),"",MIN(24,S62)*((O62/12)/2-N(I62))+MAX(0,24-S62)*((O62/12)-N(I62))-N(H62))</f>
        <v/>
      </c>
      <c r="Z62" s="42" t="str">
        <f aca="false">IF(OR(E62="",E62="Fora"),"",IF(AND(E62="Onda 1",'AVALIAÇÃO MAPA'!AP62="SIM"),"Processo com trava na Onda 1. ","")&amp;IF(AND(E62="Onda 1",'AVALIAÇÃO MAPA'!AR62="SIM",AC62&lt;&gt;"P"),"Rota P sem o degrau P na simulação. ","")&amp;IF(AND(AD62=1,SUMIFS($AD$6:$AD$105,$E$6:$E$105,E62)&gt;2),"Mais de 2 projetos de automação nesta onda. ","")&amp;IF(AND(C62="Projeto estratégico",OR(N62="Protótipo",N62="Paralelo"),COUNTIFS($C$6:$C$105,"Projeto estratégico",$N$6:$N$105,"Protótipo")+COUNTIFS($C$6:$C$105,"Projeto estratégico",$N$6:$N$105,"Paralelo")&gt;1),"Mais de 1 projeto estratégico em execução. ","")&amp;IF(AND(N(Q62)&gt;0,OR(K62="",K62="Sem destino")),"Defina o destino das horas liberadas. ",""))</f>
        <v/>
      </c>
      <c r="AA62" s="43" t="str">
        <f aca="false">IF(OR(O62="",H62=""),"",IF(H62=0,0,IF(AND(((O62/12)/2-N(I62))&gt;0,H62&lt;=S62*((O62/12)/2-N(I62))),H62/((O62/12)/2-N(I62)),IF(((O62/12)-N(I62))&lt;=0,999,S62+(H62-S62*((O62/12)/2-N(I62)))/((O62/12)-N(I62))))))</f>
        <v/>
      </c>
      <c r="AB62" s="43" t="str">
        <f aca="false">IF(OR(T62="",H62=""),"",IF(H62=0,0,IF(AND(((T62/12)/2-N(I62))&gt;0,H62&lt;=S62*((T62/12)/2-N(I62))),H62/((T62/12)/2-N(I62)),IF(((T62/12)-N(I62))&lt;=0,999,S62+(H62-S62*((T62/12)/2-N(I62)))/((T62/12)-N(I62))))))</f>
        <v/>
      </c>
      <c r="AC62" s="19" t="str">
        <f aca="false">'AVALIAÇÃO MAPA'!AW62</f>
        <v/>
      </c>
      <c r="AD62" s="19" t="n">
        <f aca="false">IF(OR(AC62="A",AC62="IA"),1,0)</f>
        <v>0</v>
      </c>
    </row>
    <row r="63" customFormat="false" ht="15" hidden="false" customHeight="false" outlineLevel="0" collapsed="false">
      <c r="A63" s="15" t="n">
        <v>58</v>
      </c>
      <c r="B63" s="18" t="str">
        <f aca="false">'AVALIAÇÃO MAPA'!B63</f>
        <v/>
      </c>
      <c r="C63" s="15" t="str">
        <f aca="false">'AVALIAÇÃO MAPA'!AS63</f>
        <v/>
      </c>
      <c r="D63" s="38" t="str">
        <f aca="false">'AVALIAÇÃO MAPA'!AN63</f>
        <v/>
      </c>
      <c r="E63" s="16"/>
      <c r="F63" s="16"/>
      <c r="G63" s="39"/>
      <c r="H63" s="24"/>
      <c r="I63" s="24"/>
      <c r="J63" s="16"/>
      <c r="K63" s="16"/>
      <c r="L63" s="16"/>
      <c r="M63" s="39"/>
      <c r="N63" s="16"/>
      <c r="O63" s="27" t="str">
        <f aca="false">'AVALIAÇÃO MAPA'!BB63</f>
        <v/>
      </c>
      <c r="P63" s="27" t="str">
        <f aca="false">'AVALIAÇÃO MAPA'!AZ63</f>
        <v/>
      </c>
      <c r="Q63" s="27" t="str">
        <f aca="false">'AVALIAÇÃO MAPA'!BA63</f>
        <v/>
      </c>
      <c r="R63" s="38" t="str">
        <f aca="false">IF('AVALIAÇÃO MAPA'!BC63="","",'AVALIAÇÃO MAPA'!BC63/12)</f>
        <v/>
      </c>
      <c r="S63" s="38" t="n">
        <f aca="false">IF(J63&lt;&gt;"",J63,Transicao_Padrao)</f>
        <v>2</v>
      </c>
      <c r="T63" s="27" t="str">
        <f aca="false">IF(O63="","",P63+IF(AND(OR(K63="Receita",K63="Contratação evitada",K63="Horas extras"),L63&lt;&gt;"",M63&lt;&gt;""),Q63,0))</f>
        <v/>
      </c>
      <c r="U63" s="40" t="str">
        <f aca="false">IF(AA63="","",IF(AA63&gt;Limite_Payback,"acima de "&amp;Limite_Payback&amp;" meses",AA63))</f>
        <v/>
      </c>
      <c r="V63" s="40" t="str">
        <f aca="false">IF(AB63="","",IF(AB63&gt;Limite_Payback,"acima de "&amp;Limite_Payback&amp;" meses",AB63))</f>
        <v/>
      </c>
      <c r="W63" s="18" t="str">
        <f aca="false">IF(T63="","",IF(T63&gt;P63,"Inclui efeito em caixa + capacidade com destino financeiro comprovável","Somente efeito em caixa"))</f>
        <v/>
      </c>
      <c r="X63" s="41" t="str">
        <f aca="false">IF(OR(O63="",E63="",E63="Fora"),"",MIN(12,S63)*((O63/12)/2-N(I63))+MAX(0,12-S63)*((O63/12)-N(I63))-N(H63))</f>
        <v/>
      </c>
      <c r="Y63" s="41" t="str">
        <f aca="false">IF(OR(O63="",E63="",E63="Fora"),"",MIN(24,S63)*((O63/12)/2-N(I63))+MAX(0,24-S63)*((O63/12)-N(I63))-N(H63))</f>
        <v/>
      </c>
      <c r="Z63" s="42" t="str">
        <f aca="false">IF(OR(E63="",E63="Fora"),"",IF(AND(E63="Onda 1",'AVALIAÇÃO MAPA'!AP63="SIM"),"Processo com trava na Onda 1. ","")&amp;IF(AND(E63="Onda 1",'AVALIAÇÃO MAPA'!AR63="SIM",AC63&lt;&gt;"P"),"Rota P sem o degrau P na simulação. ","")&amp;IF(AND(AD63=1,SUMIFS($AD$6:$AD$105,$E$6:$E$105,E63)&gt;2),"Mais de 2 projetos de automação nesta onda. ","")&amp;IF(AND(C63="Projeto estratégico",OR(N63="Protótipo",N63="Paralelo"),COUNTIFS($C$6:$C$105,"Projeto estratégico",$N$6:$N$105,"Protótipo")+COUNTIFS($C$6:$C$105,"Projeto estratégico",$N$6:$N$105,"Paralelo")&gt;1),"Mais de 1 projeto estratégico em execução. ","")&amp;IF(AND(N(Q63)&gt;0,OR(K63="",K63="Sem destino")),"Defina o destino das horas liberadas. ",""))</f>
        <v/>
      </c>
      <c r="AA63" s="43" t="str">
        <f aca="false">IF(OR(O63="",H63=""),"",IF(H63=0,0,IF(AND(((O63/12)/2-N(I63))&gt;0,H63&lt;=S63*((O63/12)/2-N(I63))),H63/((O63/12)/2-N(I63)),IF(((O63/12)-N(I63))&lt;=0,999,S63+(H63-S63*((O63/12)/2-N(I63)))/((O63/12)-N(I63))))))</f>
        <v/>
      </c>
      <c r="AB63" s="43" t="str">
        <f aca="false">IF(OR(T63="",H63=""),"",IF(H63=0,0,IF(AND(((T63/12)/2-N(I63))&gt;0,H63&lt;=S63*((T63/12)/2-N(I63))),H63/((T63/12)/2-N(I63)),IF(((T63/12)-N(I63))&lt;=0,999,S63+(H63-S63*((T63/12)/2-N(I63)))/((T63/12)-N(I63))))))</f>
        <v/>
      </c>
      <c r="AC63" s="19" t="str">
        <f aca="false">'AVALIAÇÃO MAPA'!AW63</f>
        <v/>
      </c>
      <c r="AD63" s="19" t="n">
        <f aca="false">IF(OR(AC63="A",AC63="IA"),1,0)</f>
        <v>0</v>
      </c>
    </row>
    <row r="64" customFormat="false" ht="15" hidden="false" customHeight="false" outlineLevel="0" collapsed="false">
      <c r="A64" s="15" t="n">
        <v>59</v>
      </c>
      <c r="B64" s="18" t="str">
        <f aca="false">'AVALIAÇÃO MAPA'!B64</f>
        <v/>
      </c>
      <c r="C64" s="15" t="str">
        <f aca="false">'AVALIAÇÃO MAPA'!AS64</f>
        <v/>
      </c>
      <c r="D64" s="38" t="str">
        <f aca="false">'AVALIAÇÃO MAPA'!AN64</f>
        <v/>
      </c>
      <c r="E64" s="16"/>
      <c r="F64" s="16"/>
      <c r="G64" s="39"/>
      <c r="H64" s="24"/>
      <c r="I64" s="24"/>
      <c r="J64" s="16"/>
      <c r="K64" s="16"/>
      <c r="L64" s="16"/>
      <c r="M64" s="39"/>
      <c r="N64" s="16"/>
      <c r="O64" s="27" t="str">
        <f aca="false">'AVALIAÇÃO MAPA'!BB64</f>
        <v/>
      </c>
      <c r="P64" s="27" t="str">
        <f aca="false">'AVALIAÇÃO MAPA'!AZ64</f>
        <v/>
      </c>
      <c r="Q64" s="27" t="str">
        <f aca="false">'AVALIAÇÃO MAPA'!BA64</f>
        <v/>
      </c>
      <c r="R64" s="38" t="str">
        <f aca="false">IF('AVALIAÇÃO MAPA'!BC64="","",'AVALIAÇÃO MAPA'!BC64/12)</f>
        <v/>
      </c>
      <c r="S64" s="38" t="n">
        <f aca="false">IF(J64&lt;&gt;"",J64,Transicao_Padrao)</f>
        <v>2</v>
      </c>
      <c r="T64" s="27" t="str">
        <f aca="false">IF(O64="","",P64+IF(AND(OR(K64="Receita",K64="Contratação evitada",K64="Horas extras"),L64&lt;&gt;"",M64&lt;&gt;""),Q64,0))</f>
        <v/>
      </c>
      <c r="U64" s="40" t="str">
        <f aca="false">IF(AA64="","",IF(AA64&gt;Limite_Payback,"acima de "&amp;Limite_Payback&amp;" meses",AA64))</f>
        <v/>
      </c>
      <c r="V64" s="40" t="str">
        <f aca="false">IF(AB64="","",IF(AB64&gt;Limite_Payback,"acima de "&amp;Limite_Payback&amp;" meses",AB64))</f>
        <v/>
      </c>
      <c r="W64" s="18" t="str">
        <f aca="false">IF(T64="","",IF(T64&gt;P64,"Inclui efeito em caixa + capacidade com destino financeiro comprovável","Somente efeito em caixa"))</f>
        <v/>
      </c>
      <c r="X64" s="41" t="str">
        <f aca="false">IF(OR(O64="",E64="",E64="Fora"),"",MIN(12,S64)*((O64/12)/2-N(I64))+MAX(0,12-S64)*((O64/12)-N(I64))-N(H64))</f>
        <v/>
      </c>
      <c r="Y64" s="41" t="str">
        <f aca="false">IF(OR(O64="",E64="",E64="Fora"),"",MIN(24,S64)*((O64/12)/2-N(I64))+MAX(0,24-S64)*((O64/12)-N(I64))-N(H64))</f>
        <v/>
      </c>
      <c r="Z64" s="42" t="str">
        <f aca="false">IF(OR(E64="",E64="Fora"),"",IF(AND(E64="Onda 1",'AVALIAÇÃO MAPA'!AP64="SIM"),"Processo com trava na Onda 1. ","")&amp;IF(AND(E64="Onda 1",'AVALIAÇÃO MAPA'!AR64="SIM",AC64&lt;&gt;"P"),"Rota P sem o degrau P na simulação. ","")&amp;IF(AND(AD64=1,SUMIFS($AD$6:$AD$105,$E$6:$E$105,E64)&gt;2),"Mais de 2 projetos de automação nesta onda. ","")&amp;IF(AND(C64="Projeto estratégico",OR(N64="Protótipo",N64="Paralelo"),COUNTIFS($C$6:$C$105,"Projeto estratégico",$N$6:$N$105,"Protótipo")+COUNTIFS($C$6:$C$105,"Projeto estratégico",$N$6:$N$105,"Paralelo")&gt;1),"Mais de 1 projeto estratégico em execução. ","")&amp;IF(AND(N(Q64)&gt;0,OR(K64="",K64="Sem destino")),"Defina o destino das horas liberadas. ",""))</f>
        <v/>
      </c>
      <c r="AA64" s="43" t="str">
        <f aca="false">IF(OR(O64="",H64=""),"",IF(H64=0,0,IF(AND(((O64/12)/2-N(I64))&gt;0,H64&lt;=S64*((O64/12)/2-N(I64))),H64/((O64/12)/2-N(I64)),IF(((O64/12)-N(I64))&lt;=0,999,S64+(H64-S64*((O64/12)/2-N(I64)))/((O64/12)-N(I64))))))</f>
        <v/>
      </c>
      <c r="AB64" s="43" t="str">
        <f aca="false">IF(OR(T64="",H64=""),"",IF(H64=0,0,IF(AND(((T64/12)/2-N(I64))&gt;0,H64&lt;=S64*((T64/12)/2-N(I64))),H64/((T64/12)/2-N(I64)),IF(((T64/12)-N(I64))&lt;=0,999,S64+(H64-S64*((T64/12)/2-N(I64)))/((T64/12)-N(I64))))))</f>
        <v/>
      </c>
      <c r="AC64" s="19" t="str">
        <f aca="false">'AVALIAÇÃO MAPA'!AW64</f>
        <v/>
      </c>
      <c r="AD64" s="19" t="n">
        <f aca="false">IF(OR(AC64="A",AC64="IA"),1,0)</f>
        <v>0</v>
      </c>
    </row>
    <row r="65" customFormat="false" ht="15" hidden="false" customHeight="false" outlineLevel="0" collapsed="false">
      <c r="A65" s="15" t="n">
        <v>60</v>
      </c>
      <c r="B65" s="18" t="str">
        <f aca="false">'AVALIAÇÃO MAPA'!B65</f>
        <v/>
      </c>
      <c r="C65" s="15" t="str">
        <f aca="false">'AVALIAÇÃO MAPA'!AS65</f>
        <v/>
      </c>
      <c r="D65" s="38" t="str">
        <f aca="false">'AVALIAÇÃO MAPA'!AN65</f>
        <v/>
      </c>
      <c r="E65" s="16"/>
      <c r="F65" s="16"/>
      <c r="G65" s="39"/>
      <c r="H65" s="24"/>
      <c r="I65" s="24"/>
      <c r="J65" s="16"/>
      <c r="K65" s="16"/>
      <c r="L65" s="16"/>
      <c r="M65" s="39"/>
      <c r="N65" s="16"/>
      <c r="O65" s="27" t="str">
        <f aca="false">'AVALIAÇÃO MAPA'!BB65</f>
        <v/>
      </c>
      <c r="P65" s="27" t="str">
        <f aca="false">'AVALIAÇÃO MAPA'!AZ65</f>
        <v/>
      </c>
      <c r="Q65" s="27" t="str">
        <f aca="false">'AVALIAÇÃO MAPA'!BA65</f>
        <v/>
      </c>
      <c r="R65" s="38" t="str">
        <f aca="false">IF('AVALIAÇÃO MAPA'!BC65="","",'AVALIAÇÃO MAPA'!BC65/12)</f>
        <v/>
      </c>
      <c r="S65" s="38" t="n">
        <f aca="false">IF(J65&lt;&gt;"",J65,Transicao_Padrao)</f>
        <v>2</v>
      </c>
      <c r="T65" s="27" t="str">
        <f aca="false">IF(O65="","",P65+IF(AND(OR(K65="Receita",K65="Contratação evitada",K65="Horas extras"),L65&lt;&gt;"",M65&lt;&gt;""),Q65,0))</f>
        <v/>
      </c>
      <c r="U65" s="40" t="str">
        <f aca="false">IF(AA65="","",IF(AA65&gt;Limite_Payback,"acima de "&amp;Limite_Payback&amp;" meses",AA65))</f>
        <v/>
      </c>
      <c r="V65" s="40" t="str">
        <f aca="false">IF(AB65="","",IF(AB65&gt;Limite_Payback,"acima de "&amp;Limite_Payback&amp;" meses",AB65))</f>
        <v/>
      </c>
      <c r="W65" s="18" t="str">
        <f aca="false">IF(T65="","",IF(T65&gt;P65,"Inclui efeito em caixa + capacidade com destino financeiro comprovável","Somente efeito em caixa"))</f>
        <v/>
      </c>
      <c r="X65" s="41" t="str">
        <f aca="false">IF(OR(O65="",E65="",E65="Fora"),"",MIN(12,S65)*((O65/12)/2-N(I65))+MAX(0,12-S65)*((O65/12)-N(I65))-N(H65))</f>
        <v/>
      </c>
      <c r="Y65" s="41" t="str">
        <f aca="false">IF(OR(O65="",E65="",E65="Fora"),"",MIN(24,S65)*((O65/12)/2-N(I65))+MAX(0,24-S65)*((O65/12)-N(I65))-N(H65))</f>
        <v/>
      </c>
      <c r="Z65" s="42" t="str">
        <f aca="false">IF(OR(E65="",E65="Fora"),"",IF(AND(E65="Onda 1",'AVALIAÇÃO MAPA'!AP65="SIM"),"Processo com trava na Onda 1. ","")&amp;IF(AND(E65="Onda 1",'AVALIAÇÃO MAPA'!AR65="SIM",AC65&lt;&gt;"P"),"Rota P sem o degrau P na simulação. ","")&amp;IF(AND(AD65=1,SUMIFS($AD$6:$AD$105,$E$6:$E$105,E65)&gt;2),"Mais de 2 projetos de automação nesta onda. ","")&amp;IF(AND(C65="Projeto estratégico",OR(N65="Protótipo",N65="Paralelo"),COUNTIFS($C$6:$C$105,"Projeto estratégico",$N$6:$N$105,"Protótipo")+COUNTIFS($C$6:$C$105,"Projeto estratégico",$N$6:$N$105,"Paralelo")&gt;1),"Mais de 1 projeto estratégico em execução. ","")&amp;IF(AND(N(Q65)&gt;0,OR(K65="",K65="Sem destino")),"Defina o destino das horas liberadas. ",""))</f>
        <v/>
      </c>
      <c r="AA65" s="43" t="str">
        <f aca="false">IF(OR(O65="",H65=""),"",IF(H65=0,0,IF(AND(((O65/12)/2-N(I65))&gt;0,H65&lt;=S65*((O65/12)/2-N(I65))),H65/((O65/12)/2-N(I65)),IF(((O65/12)-N(I65))&lt;=0,999,S65+(H65-S65*((O65/12)/2-N(I65)))/((O65/12)-N(I65))))))</f>
        <v/>
      </c>
      <c r="AB65" s="43" t="str">
        <f aca="false">IF(OR(T65="",H65=""),"",IF(H65=0,0,IF(AND(((T65/12)/2-N(I65))&gt;0,H65&lt;=S65*((T65/12)/2-N(I65))),H65/((T65/12)/2-N(I65)),IF(((T65/12)-N(I65))&lt;=0,999,S65+(H65-S65*((T65/12)/2-N(I65)))/((T65/12)-N(I65))))))</f>
        <v/>
      </c>
      <c r="AC65" s="19" t="str">
        <f aca="false">'AVALIAÇÃO MAPA'!AW65</f>
        <v/>
      </c>
      <c r="AD65" s="19" t="n">
        <f aca="false">IF(OR(AC65="A",AC65="IA"),1,0)</f>
        <v>0</v>
      </c>
    </row>
    <row r="66" customFormat="false" ht="15" hidden="false" customHeight="false" outlineLevel="0" collapsed="false">
      <c r="A66" s="15" t="n">
        <v>61</v>
      </c>
      <c r="B66" s="18" t="str">
        <f aca="false">'AVALIAÇÃO MAPA'!B66</f>
        <v/>
      </c>
      <c r="C66" s="15" t="str">
        <f aca="false">'AVALIAÇÃO MAPA'!AS66</f>
        <v/>
      </c>
      <c r="D66" s="38" t="str">
        <f aca="false">'AVALIAÇÃO MAPA'!AN66</f>
        <v/>
      </c>
      <c r="E66" s="16"/>
      <c r="F66" s="16"/>
      <c r="G66" s="39"/>
      <c r="H66" s="24"/>
      <c r="I66" s="24"/>
      <c r="J66" s="16"/>
      <c r="K66" s="16"/>
      <c r="L66" s="16"/>
      <c r="M66" s="39"/>
      <c r="N66" s="16"/>
      <c r="O66" s="27" t="str">
        <f aca="false">'AVALIAÇÃO MAPA'!BB66</f>
        <v/>
      </c>
      <c r="P66" s="27" t="str">
        <f aca="false">'AVALIAÇÃO MAPA'!AZ66</f>
        <v/>
      </c>
      <c r="Q66" s="27" t="str">
        <f aca="false">'AVALIAÇÃO MAPA'!BA66</f>
        <v/>
      </c>
      <c r="R66" s="38" t="str">
        <f aca="false">IF('AVALIAÇÃO MAPA'!BC66="","",'AVALIAÇÃO MAPA'!BC66/12)</f>
        <v/>
      </c>
      <c r="S66" s="38" t="n">
        <f aca="false">IF(J66&lt;&gt;"",J66,Transicao_Padrao)</f>
        <v>2</v>
      </c>
      <c r="T66" s="27" t="str">
        <f aca="false">IF(O66="","",P66+IF(AND(OR(K66="Receita",K66="Contratação evitada",K66="Horas extras"),L66&lt;&gt;"",M66&lt;&gt;""),Q66,0))</f>
        <v/>
      </c>
      <c r="U66" s="40" t="str">
        <f aca="false">IF(AA66="","",IF(AA66&gt;Limite_Payback,"acima de "&amp;Limite_Payback&amp;" meses",AA66))</f>
        <v/>
      </c>
      <c r="V66" s="40" t="str">
        <f aca="false">IF(AB66="","",IF(AB66&gt;Limite_Payback,"acima de "&amp;Limite_Payback&amp;" meses",AB66))</f>
        <v/>
      </c>
      <c r="W66" s="18" t="str">
        <f aca="false">IF(T66="","",IF(T66&gt;P66,"Inclui efeito em caixa + capacidade com destino financeiro comprovável","Somente efeito em caixa"))</f>
        <v/>
      </c>
      <c r="X66" s="41" t="str">
        <f aca="false">IF(OR(O66="",E66="",E66="Fora"),"",MIN(12,S66)*((O66/12)/2-N(I66))+MAX(0,12-S66)*((O66/12)-N(I66))-N(H66))</f>
        <v/>
      </c>
      <c r="Y66" s="41" t="str">
        <f aca="false">IF(OR(O66="",E66="",E66="Fora"),"",MIN(24,S66)*((O66/12)/2-N(I66))+MAX(0,24-S66)*((O66/12)-N(I66))-N(H66))</f>
        <v/>
      </c>
      <c r="Z66" s="42" t="str">
        <f aca="false">IF(OR(E66="",E66="Fora"),"",IF(AND(E66="Onda 1",'AVALIAÇÃO MAPA'!AP66="SIM"),"Processo com trava na Onda 1. ","")&amp;IF(AND(E66="Onda 1",'AVALIAÇÃO MAPA'!AR66="SIM",AC66&lt;&gt;"P"),"Rota P sem o degrau P na simulação. ","")&amp;IF(AND(AD66=1,SUMIFS($AD$6:$AD$105,$E$6:$E$105,E66)&gt;2),"Mais de 2 projetos de automação nesta onda. ","")&amp;IF(AND(C66="Projeto estratégico",OR(N66="Protótipo",N66="Paralelo"),COUNTIFS($C$6:$C$105,"Projeto estratégico",$N$6:$N$105,"Protótipo")+COUNTIFS($C$6:$C$105,"Projeto estratégico",$N$6:$N$105,"Paralelo")&gt;1),"Mais de 1 projeto estratégico em execução. ","")&amp;IF(AND(N(Q66)&gt;0,OR(K66="",K66="Sem destino")),"Defina o destino das horas liberadas. ",""))</f>
        <v/>
      </c>
      <c r="AA66" s="43" t="str">
        <f aca="false">IF(OR(O66="",H66=""),"",IF(H66=0,0,IF(AND(((O66/12)/2-N(I66))&gt;0,H66&lt;=S66*((O66/12)/2-N(I66))),H66/((O66/12)/2-N(I66)),IF(((O66/12)-N(I66))&lt;=0,999,S66+(H66-S66*((O66/12)/2-N(I66)))/((O66/12)-N(I66))))))</f>
        <v/>
      </c>
      <c r="AB66" s="43" t="str">
        <f aca="false">IF(OR(T66="",H66=""),"",IF(H66=0,0,IF(AND(((T66/12)/2-N(I66))&gt;0,H66&lt;=S66*((T66/12)/2-N(I66))),H66/((T66/12)/2-N(I66)),IF(((T66/12)-N(I66))&lt;=0,999,S66+(H66-S66*((T66/12)/2-N(I66)))/((T66/12)-N(I66))))))</f>
        <v/>
      </c>
      <c r="AC66" s="19" t="str">
        <f aca="false">'AVALIAÇÃO MAPA'!AW66</f>
        <v/>
      </c>
      <c r="AD66" s="19" t="n">
        <f aca="false">IF(OR(AC66="A",AC66="IA"),1,0)</f>
        <v>0</v>
      </c>
    </row>
    <row r="67" customFormat="false" ht="15" hidden="false" customHeight="false" outlineLevel="0" collapsed="false">
      <c r="A67" s="15" t="n">
        <v>62</v>
      </c>
      <c r="B67" s="18" t="str">
        <f aca="false">'AVALIAÇÃO MAPA'!B67</f>
        <v/>
      </c>
      <c r="C67" s="15" t="str">
        <f aca="false">'AVALIAÇÃO MAPA'!AS67</f>
        <v/>
      </c>
      <c r="D67" s="38" t="str">
        <f aca="false">'AVALIAÇÃO MAPA'!AN67</f>
        <v/>
      </c>
      <c r="E67" s="16"/>
      <c r="F67" s="16"/>
      <c r="G67" s="39"/>
      <c r="H67" s="24"/>
      <c r="I67" s="24"/>
      <c r="J67" s="16"/>
      <c r="K67" s="16"/>
      <c r="L67" s="16"/>
      <c r="M67" s="39"/>
      <c r="N67" s="16"/>
      <c r="O67" s="27" t="str">
        <f aca="false">'AVALIAÇÃO MAPA'!BB67</f>
        <v/>
      </c>
      <c r="P67" s="27" t="str">
        <f aca="false">'AVALIAÇÃO MAPA'!AZ67</f>
        <v/>
      </c>
      <c r="Q67" s="27" t="str">
        <f aca="false">'AVALIAÇÃO MAPA'!BA67</f>
        <v/>
      </c>
      <c r="R67" s="38" t="str">
        <f aca="false">IF('AVALIAÇÃO MAPA'!BC67="","",'AVALIAÇÃO MAPA'!BC67/12)</f>
        <v/>
      </c>
      <c r="S67" s="38" t="n">
        <f aca="false">IF(J67&lt;&gt;"",J67,Transicao_Padrao)</f>
        <v>2</v>
      </c>
      <c r="T67" s="27" t="str">
        <f aca="false">IF(O67="","",P67+IF(AND(OR(K67="Receita",K67="Contratação evitada",K67="Horas extras"),L67&lt;&gt;"",M67&lt;&gt;""),Q67,0))</f>
        <v/>
      </c>
      <c r="U67" s="40" t="str">
        <f aca="false">IF(AA67="","",IF(AA67&gt;Limite_Payback,"acima de "&amp;Limite_Payback&amp;" meses",AA67))</f>
        <v/>
      </c>
      <c r="V67" s="40" t="str">
        <f aca="false">IF(AB67="","",IF(AB67&gt;Limite_Payback,"acima de "&amp;Limite_Payback&amp;" meses",AB67))</f>
        <v/>
      </c>
      <c r="W67" s="18" t="str">
        <f aca="false">IF(T67="","",IF(T67&gt;P67,"Inclui efeito em caixa + capacidade com destino financeiro comprovável","Somente efeito em caixa"))</f>
        <v/>
      </c>
      <c r="X67" s="41" t="str">
        <f aca="false">IF(OR(O67="",E67="",E67="Fora"),"",MIN(12,S67)*((O67/12)/2-N(I67))+MAX(0,12-S67)*((O67/12)-N(I67))-N(H67))</f>
        <v/>
      </c>
      <c r="Y67" s="41" t="str">
        <f aca="false">IF(OR(O67="",E67="",E67="Fora"),"",MIN(24,S67)*((O67/12)/2-N(I67))+MAX(0,24-S67)*((O67/12)-N(I67))-N(H67))</f>
        <v/>
      </c>
      <c r="Z67" s="42" t="str">
        <f aca="false">IF(OR(E67="",E67="Fora"),"",IF(AND(E67="Onda 1",'AVALIAÇÃO MAPA'!AP67="SIM"),"Processo com trava na Onda 1. ","")&amp;IF(AND(E67="Onda 1",'AVALIAÇÃO MAPA'!AR67="SIM",AC67&lt;&gt;"P"),"Rota P sem o degrau P na simulação. ","")&amp;IF(AND(AD67=1,SUMIFS($AD$6:$AD$105,$E$6:$E$105,E67)&gt;2),"Mais de 2 projetos de automação nesta onda. ","")&amp;IF(AND(C67="Projeto estratégico",OR(N67="Protótipo",N67="Paralelo"),COUNTIFS($C$6:$C$105,"Projeto estratégico",$N$6:$N$105,"Protótipo")+COUNTIFS($C$6:$C$105,"Projeto estratégico",$N$6:$N$105,"Paralelo")&gt;1),"Mais de 1 projeto estratégico em execução. ","")&amp;IF(AND(N(Q67)&gt;0,OR(K67="",K67="Sem destino")),"Defina o destino das horas liberadas. ",""))</f>
        <v/>
      </c>
      <c r="AA67" s="43" t="str">
        <f aca="false">IF(OR(O67="",H67=""),"",IF(H67=0,0,IF(AND(((O67/12)/2-N(I67))&gt;0,H67&lt;=S67*((O67/12)/2-N(I67))),H67/((O67/12)/2-N(I67)),IF(((O67/12)-N(I67))&lt;=0,999,S67+(H67-S67*((O67/12)/2-N(I67)))/((O67/12)-N(I67))))))</f>
        <v/>
      </c>
      <c r="AB67" s="43" t="str">
        <f aca="false">IF(OR(T67="",H67=""),"",IF(H67=0,0,IF(AND(((T67/12)/2-N(I67))&gt;0,H67&lt;=S67*((T67/12)/2-N(I67))),H67/((T67/12)/2-N(I67)),IF(((T67/12)-N(I67))&lt;=0,999,S67+(H67-S67*((T67/12)/2-N(I67)))/((T67/12)-N(I67))))))</f>
        <v/>
      </c>
      <c r="AC67" s="19" t="str">
        <f aca="false">'AVALIAÇÃO MAPA'!AW67</f>
        <v/>
      </c>
      <c r="AD67" s="19" t="n">
        <f aca="false">IF(OR(AC67="A",AC67="IA"),1,0)</f>
        <v>0</v>
      </c>
    </row>
    <row r="68" customFormat="false" ht="15" hidden="false" customHeight="false" outlineLevel="0" collapsed="false">
      <c r="A68" s="15" t="n">
        <v>63</v>
      </c>
      <c r="B68" s="18" t="str">
        <f aca="false">'AVALIAÇÃO MAPA'!B68</f>
        <v/>
      </c>
      <c r="C68" s="15" t="str">
        <f aca="false">'AVALIAÇÃO MAPA'!AS68</f>
        <v/>
      </c>
      <c r="D68" s="38" t="str">
        <f aca="false">'AVALIAÇÃO MAPA'!AN68</f>
        <v/>
      </c>
      <c r="E68" s="16"/>
      <c r="F68" s="16"/>
      <c r="G68" s="39"/>
      <c r="H68" s="24"/>
      <c r="I68" s="24"/>
      <c r="J68" s="16"/>
      <c r="K68" s="16"/>
      <c r="L68" s="16"/>
      <c r="M68" s="39"/>
      <c r="N68" s="16"/>
      <c r="O68" s="27" t="str">
        <f aca="false">'AVALIAÇÃO MAPA'!BB68</f>
        <v/>
      </c>
      <c r="P68" s="27" t="str">
        <f aca="false">'AVALIAÇÃO MAPA'!AZ68</f>
        <v/>
      </c>
      <c r="Q68" s="27" t="str">
        <f aca="false">'AVALIAÇÃO MAPA'!BA68</f>
        <v/>
      </c>
      <c r="R68" s="38" t="str">
        <f aca="false">IF('AVALIAÇÃO MAPA'!BC68="","",'AVALIAÇÃO MAPA'!BC68/12)</f>
        <v/>
      </c>
      <c r="S68" s="38" t="n">
        <f aca="false">IF(J68&lt;&gt;"",J68,Transicao_Padrao)</f>
        <v>2</v>
      </c>
      <c r="T68" s="27" t="str">
        <f aca="false">IF(O68="","",P68+IF(AND(OR(K68="Receita",K68="Contratação evitada",K68="Horas extras"),L68&lt;&gt;"",M68&lt;&gt;""),Q68,0))</f>
        <v/>
      </c>
      <c r="U68" s="40" t="str">
        <f aca="false">IF(AA68="","",IF(AA68&gt;Limite_Payback,"acima de "&amp;Limite_Payback&amp;" meses",AA68))</f>
        <v/>
      </c>
      <c r="V68" s="40" t="str">
        <f aca="false">IF(AB68="","",IF(AB68&gt;Limite_Payback,"acima de "&amp;Limite_Payback&amp;" meses",AB68))</f>
        <v/>
      </c>
      <c r="W68" s="18" t="str">
        <f aca="false">IF(T68="","",IF(T68&gt;P68,"Inclui efeito em caixa + capacidade com destino financeiro comprovável","Somente efeito em caixa"))</f>
        <v/>
      </c>
      <c r="X68" s="41" t="str">
        <f aca="false">IF(OR(O68="",E68="",E68="Fora"),"",MIN(12,S68)*((O68/12)/2-N(I68))+MAX(0,12-S68)*((O68/12)-N(I68))-N(H68))</f>
        <v/>
      </c>
      <c r="Y68" s="41" t="str">
        <f aca="false">IF(OR(O68="",E68="",E68="Fora"),"",MIN(24,S68)*((O68/12)/2-N(I68))+MAX(0,24-S68)*((O68/12)-N(I68))-N(H68))</f>
        <v/>
      </c>
      <c r="Z68" s="42" t="str">
        <f aca="false">IF(OR(E68="",E68="Fora"),"",IF(AND(E68="Onda 1",'AVALIAÇÃO MAPA'!AP68="SIM"),"Processo com trava na Onda 1. ","")&amp;IF(AND(E68="Onda 1",'AVALIAÇÃO MAPA'!AR68="SIM",AC68&lt;&gt;"P"),"Rota P sem o degrau P na simulação. ","")&amp;IF(AND(AD68=1,SUMIFS($AD$6:$AD$105,$E$6:$E$105,E68)&gt;2),"Mais de 2 projetos de automação nesta onda. ","")&amp;IF(AND(C68="Projeto estratégico",OR(N68="Protótipo",N68="Paralelo"),COUNTIFS($C$6:$C$105,"Projeto estratégico",$N$6:$N$105,"Protótipo")+COUNTIFS($C$6:$C$105,"Projeto estratégico",$N$6:$N$105,"Paralelo")&gt;1),"Mais de 1 projeto estratégico em execução. ","")&amp;IF(AND(N(Q68)&gt;0,OR(K68="",K68="Sem destino")),"Defina o destino das horas liberadas. ",""))</f>
        <v/>
      </c>
      <c r="AA68" s="43" t="str">
        <f aca="false">IF(OR(O68="",H68=""),"",IF(H68=0,0,IF(AND(((O68/12)/2-N(I68))&gt;0,H68&lt;=S68*((O68/12)/2-N(I68))),H68/((O68/12)/2-N(I68)),IF(((O68/12)-N(I68))&lt;=0,999,S68+(H68-S68*((O68/12)/2-N(I68)))/((O68/12)-N(I68))))))</f>
        <v/>
      </c>
      <c r="AB68" s="43" t="str">
        <f aca="false">IF(OR(T68="",H68=""),"",IF(H68=0,0,IF(AND(((T68/12)/2-N(I68))&gt;0,H68&lt;=S68*((T68/12)/2-N(I68))),H68/((T68/12)/2-N(I68)),IF(((T68/12)-N(I68))&lt;=0,999,S68+(H68-S68*((T68/12)/2-N(I68)))/((T68/12)-N(I68))))))</f>
        <v/>
      </c>
      <c r="AC68" s="19" t="str">
        <f aca="false">'AVALIAÇÃO MAPA'!AW68</f>
        <v/>
      </c>
      <c r="AD68" s="19" t="n">
        <f aca="false">IF(OR(AC68="A",AC68="IA"),1,0)</f>
        <v>0</v>
      </c>
    </row>
    <row r="69" customFormat="false" ht="15" hidden="false" customHeight="false" outlineLevel="0" collapsed="false">
      <c r="A69" s="15" t="n">
        <v>64</v>
      </c>
      <c r="B69" s="18" t="str">
        <f aca="false">'AVALIAÇÃO MAPA'!B69</f>
        <v/>
      </c>
      <c r="C69" s="15" t="str">
        <f aca="false">'AVALIAÇÃO MAPA'!AS69</f>
        <v/>
      </c>
      <c r="D69" s="38" t="str">
        <f aca="false">'AVALIAÇÃO MAPA'!AN69</f>
        <v/>
      </c>
      <c r="E69" s="16"/>
      <c r="F69" s="16"/>
      <c r="G69" s="39"/>
      <c r="H69" s="24"/>
      <c r="I69" s="24"/>
      <c r="J69" s="16"/>
      <c r="K69" s="16"/>
      <c r="L69" s="16"/>
      <c r="M69" s="39"/>
      <c r="N69" s="16"/>
      <c r="O69" s="27" t="str">
        <f aca="false">'AVALIAÇÃO MAPA'!BB69</f>
        <v/>
      </c>
      <c r="P69" s="27" t="str">
        <f aca="false">'AVALIAÇÃO MAPA'!AZ69</f>
        <v/>
      </c>
      <c r="Q69" s="27" t="str">
        <f aca="false">'AVALIAÇÃO MAPA'!BA69</f>
        <v/>
      </c>
      <c r="R69" s="38" t="str">
        <f aca="false">IF('AVALIAÇÃO MAPA'!BC69="","",'AVALIAÇÃO MAPA'!BC69/12)</f>
        <v/>
      </c>
      <c r="S69" s="38" t="n">
        <f aca="false">IF(J69&lt;&gt;"",J69,Transicao_Padrao)</f>
        <v>2</v>
      </c>
      <c r="T69" s="27" t="str">
        <f aca="false">IF(O69="","",P69+IF(AND(OR(K69="Receita",K69="Contratação evitada",K69="Horas extras"),L69&lt;&gt;"",M69&lt;&gt;""),Q69,0))</f>
        <v/>
      </c>
      <c r="U69" s="40" t="str">
        <f aca="false">IF(AA69="","",IF(AA69&gt;Limite_Payback,"acima de "&amp;Limite_Payback&amp;" meses",AA69))</f>
        <v/>
      </c>
      <c r="V69" s="40" t="str">
        <f aca="false">IF(AB69="","",IF(AB69&gt;Limite_Payback,"acima de "&amp;Limite_Payback&amp;" meses",AB69))</f>
        <v/>
      </c>
      <c r="W69" s="18" t="str">
        <f aca="false">IF(T69="","",IF(T69&gt;P69,"Inclui efeito em caixa + capacidade com destino financeiro comprovável","Somente efeito em caixa"))</f>
        <v/>
      </c>
      <c r="X69" s="41" t="str">
        <f aca="false">IF(OR(O69="",E69="",E69="Fora"),"",MIN(12,S69)*((O69/12)/2-N(I69))+MAX(0,12-S69)*((O69/12)-N(I69))-N(H69))</f>
        <v/>
      </c>
      <c r="Y69" s="41" t="str">
        <f aca="false">IF(OR(O69="",E69="",E69="Fora"),"",MIN(24,S69)*((O69/12)/2-N(I69))+MAX(0,24-S69)*((O69/12)-N(I69))-N(H69))</f>
        <v/>
      </c>
      <c r="Z69" s="42" t="str">
        <f aca="false">IF(OR(E69="",E69="Fora"),"",IF(AND(E69="Onda 1",'AVALIAÇÃO MAPA'!AP69="SIM"),"Processo com trava na Onda 1. ","")&amp;IF(AND(E69="Onda 1",'AVALIAÇÃO MAPA'!AR69="SIM",AC69&lt;&gt;"P"),"Rota P sem o degrau P na simulação. ","")&amp;IF(AND(AD69=1,SUMIFS($AD$6:$AD$105,$E$6:$E$105,E69)&gt;2),"Mais de 2 projetos de automação nesta onda. ","")&amp;IF(AND(C69="Projeto estratégico",OR(N69="Protótipo",N69="Paralelo"),COUNTIFS($C$6:$C$105,"Projeto estratégico",$N$6:$N$105,"Protótipo")+COUNTIFS($C$6:$C$105,"Projeto estratégico",$N$6:$N$105,"Paralelo")&gt;1),"Mais de 1 projeto estratégico em execução. ","")&amp;IF(AND(N(Q69)&gt;0,OR(K69="",K69="Sem destino")),"Defina o destino das horas liberadas. ",""))</f>
        <v/>
      </c>
      <c r="AA69" s="43" t="str">
        <f aca="false">IF(OR(O69="",H69=""),"",IF(H69=0,0,IF(AND(((O69/12)/2-N(I69))&gt;0,H69&lt;=S69*((O69/12)/2-N(I69))),H69/((O69/12)/2-N(I69)),IF(((O69/12)-N(I69))&lt;=0,999,S69+(H69-S69*((O69/12)/2-N(I69)))/((O69/12)-N(I69))))))</f>
        <v/>
      </c>
      <c r="AB69" s="43" t="str">
        <f aca="false">IF(OR(T69="",H69=""),"",IF(H69=0,0,IF(AND(((T69/12)/2-N(I69))&gt;0,H69&lt;=S69*((T69/12)/2-N(I69))),H69/((T69/12)/2-N(I69)),IF(((T69/12)-N(I69))&lt;=0,999,S69+(H69-S69*((T69/12)/2-N(I69)))/((T69/12)-N(I69))))))</f>
        <v/>
      </c>
      <c r="AC69" s="19" t="str">
        <f aca="false">'AVALIAÇÃO MAPA'!AW69</f>
        <v/>
      </c>
      <c r="AD69" s="19" t="n">
        <f aca="false">IF(OR(AC69="A",AC69="IA"),1,0)</f>
        <v>0</v>
      </c>
    </row>
    <row r="70" customFormat="false" ht="15" hidden="false" customHeight="false" outlineLevel="0" collapsed="false">
      <c r="A70" s="15" t="n">
        <v>65</v>
      </c>
      <c r="B70" s="18" t="str">
        <f aca="false">'AVALIAÇÃO MAPA'!B70</f>
        <v/>
      </c>
      <c r="C70" s="15" t="str">
        <f aca="false">'AVALIAÇÃO MAPA'!AS70</f>
        <v/>
      </c>
      <c r="D70" s="38" t="str">
        <f aca="false">'AVALIAÇÃO MAPA'!AN70</f>
        <v/>
      </c>
      <c r="E70" s="16"/>
      <c r="F70" s="16"/>
      <c r="G70" s="39"/>
      <c r="H70" s="24"/>
      <c r="I70" s="24"/>
      <c r="J70" s="16"/>
      <c r="K70" s="16"/>
      <c r="L70" s="16"/>
      <c r="M70" s="39"/>
      <c r="N70" s="16"/>
      <c r="O70" s="27" t="str">
        <f aca="false">'AVALIAÇÃO MAPA'!BB70</f>
        <v/>
      </c>
      <c r="P70" s="27" t="str">
        <f aca="false">'AVALIAÇÃO MAPA'!AZ70</f>
        <v/>
      </c>
      <c r="Q70" s="27" t="str">
        <f aca="false">'AVALIAÇÃO MAPA'!BA70</f>
        <v/>
      </c>
      <c r="R70" s="38" t="str">
        <f aca="false">IF('AVALIAÇÃO MAPA'!BC70="","",'AVALIAÇÃO MAPA'!BC70/12)</f>
        <v/>
      </c>
      <c r="S70" s="38" t="n">
        <f aca="false">IF(J70&lt;&gt;"",J70,Transicao_Padrao)</f>
        <v>2</v>
      </c>
      <c r="T70" s="27" t="str">
        <f aca="false">IF(O70="","",P70+IF(AND(OR(K70="Receita",K70="Contratação evitada",K70="Horas extras"),L70&lt;&gt;"",M70&lt;&gt;""),Q70,0))</f>
        <v/>
      </c>
      <c r="U70" s="40" t="str">
        <f aca="false">IF(AA70="","",IF(AA70&gt;Limite_Payback,"acima de "&amp;Limite_Payback&amp;" meses",AA70))</f>
        <v/>
      </c>
      <c r="V70" s="40" t="str">
        <f aca="false">IF(AB70="","",IF(AB70&gt;Limite_Payback,"acima de "&amp;Limite_Payback&amp;" meses",AB70))</f>
        <v/>
      </c>
      <c r="W70" s="18" t="str">
        <f aca="false">IF(T70="","",IF(T70&gt;P70,"Inclui efeito em caixa + capacidade com destino financeiro comprovável","Somente efeito em caixa"))</f>
        <v/>
      </c>
      <c r="X70" s="41" t="str">
        <f aca="false">IF(OR(O70="",E70="",E70="Fora"),"",MIN(12,S70)*((O70/12)/2-N(I70))+MAX(0,12-S70)*((O70/12)-N(I70))-N(H70))</f>
        <v/>
      </c>
      <c r="Y70" s="41" t="str">
        <f aca="false">IF(OR(O70="",E70="",E70="Fora"),"",MIN(24,S70)*((O70/12)/2-N(I70))+MAX(0,24-S70)*((O70/12)-N(I70))-N(H70))</f>
        <v/>
      </c>
      <c r="Z70" s="42" t="str">
        <f aca="false">IF(OR(E70="",E70="Fora"),"",IF(AND(E70="Onda 1",'AVALIAÇÃO MAPA'!AP70="SIM"),"Processo com trava na Onda 1. ","")&amp;IF(AND(E70="Onda 1",'AVALIAÇÃO MAPA'!AR70="SIM",AC70&lt;&gt;"P"),"Rota P sem o degrau P na simulação. ","")&amp;IF(AND(AD70=1,SUMIFS($AD$6:$AD$105,$E$6:$E$105,E70)&gt;2),"Mais de 2 projetos de automação nesta onda. ","")&amp;IF(AND(C70="Projeto estratégico",OR(N70="Protótipo",N70="Paralelo"),COUNTIFS($C$6:$C$105,"Projeto estratégico",$N$6:$N$105,"Protótipo")+COUNTIFS($C$6:$C$105,"Projeto estratégico",$N$6:$N$105,"Paralelo")&gt;1),"Mais de 1 projeto estratégico em execução. ","")&amp;IF(AND(N(Q70)&gt;0,OR(K70="",K70="Sem destino")),"Defina o destino das horas liberadas. ",""))</f>
        <v/>
      </c>
      <c r="AA70" s="43" t="str">
        <f aca="false">IF(OR(O70="",H70=""),"",IF(H70=0,0,IF(AND(((O70/12)/2-N(I70))&gt;0,H70&lt;=S70*((O70/12)/2-N(I70))),H70/((O70/12)/2-N(I70)),IF(((O70/12)-N(I70))&lt;=0,999,S70+(H70-S70*((O70/12)/2-N(I70)))/((O70/12)-N(I70))))))</f>
        <v/>
      </c>
      <c r="AB70" s="43" t="str">
        <f aca="false">IF(OR(T70="",H70=""),"",IF(H70=0,0,IF(AND(((T70/12)/2-N(I70))&gt;0,H70&lt;=S70*((T70/12)/2-N(I70))),H70/((T70/12)/2-N(I70)),IF(((T70/12)-N(I70))&lt;=0,999,S70+(H70-S70*((T70/12)/2-N(I70)))/((T70/12)-N(I70))))))</f>
        <v/>
      </c>
      <c r="AC70" s="19" t="str">
        <f aca="false">'AVALIAÇÃO MAPA'!AW70</f>
        <v/>
      </c>
      <c r="AD70" s="19" t="n">
        <f aca="false">IF(OR(AC70="A",AC70="IA"),1,0)</f>
        <v>0</v>
      </c>
    </row>
    <row r="71" customFormat="false" ht="15" hidden="false" customHeight="false" outlineLevel="0" collapsed="false">
      <c r="A71" s="15" t="n">
        <v>66</v>
      </c>
      <c r="B71" s="18" t="str">
        <f aca="false">'AVALIAÇÃO MAPA'!B71</f>
        <v/>
      </c>
      <c r="C71" s="15" t="str">
        <f aca="false">'AVALIAÇÃO MAPA'!AS71</f>
        <v/>
      </c>
      <c r="D71" s="38" t="str">
        <f aca="false">'AVALIAÇÃO MAPA'!AN71</f>
        <v/>
      </c>
      <c r="E71" s="16"/>
      <c r="F71" s="16"/>
      <c r="G71" s="39"/>
      <c r="H71" s="24"/>
      <c r="I71" s="24"/>
      <c r="J71" s="16"/>
      <c r="K71" s="16"/>
      <c r="L71" s="16"/>
      <c r="M71" s="39"/>
      <c r="N71" s="16"/>
      <c r="O71" s="27" t="str">
        <f aca="false">'AVALIAÇÃO MAPA'!BB71</f>
        <v/>
      </c>
      <c r="P71" s="27" t="str">
        <f aca="false">'AVALIAÇÃO MAPA'!AZ71</f>
        <v/>
      </c>
      <c r="Q71" s="27" t="str">
        <f aca="false">'AVALIAÇÃO MAPA'!BA71</f>
        <v/>
      </c>
      <c r="R71" s="38" t="str">
        <f aca="false">IF('AVALIAÇÃO MAPA'!BC71="","",'AVALIAÇÃO MAPA'!BC71/12)</f>
        <v/>
      </c>
      <c r="S71" s="38" t="n">
        <f aca="false">IF(J71&lt;&gt;"",J71,Transicao_Padrao)</f>
        <v>2</v>
      </c>
      <c r="T71" s="27" t="str">
        <f aca="false">IF(O71="","",P71+IF(AND(OR(K71="Receita",K71="Contratação evitada",K71="Horas extras"),L71&lt;&gt;"",M71&lt;&gt;""),Q71,0))</f>
        <v/>
      </c>
      <c r="U71" s="40" t="str">
        <f aca="false">IF(AA71="","",IF(AA71&gt;Limite_Payback,"acima de "&amp;Limite_Payback&amp;" meses",AA71))</f>
        <v/>
      </c>
      <c r="V71" s="40" t="str">
        <f aca="false">IF(AB71="","",IF(AB71&gt;Limite_Payback,"acima de "&amp;Limite_Payback&amp;" meses",AB71))</f>
        <v/>
      </c>
      <c r="W71" s="18" t="str">
        <f aca="false">IF(T71="","",IF(T71&gt;P71,"Inclui efeito em caixa + capacidade com destino financeiro comprovável","Somente efeito em caixa"))</f>
        <v/>
      </c>
      <c r="X71" s="41" t="str">
        <f aca="false">IF(OR(O71="",E71="",E71="Fora"),"",MIN(12,S71)*((O71/12)/2-N(I71))+MAX(0,12-S71)*((O71/12)-N(I71))-N(H71))</f>
        <v/>
      </c>
      <c r="Y71" s="41" t="str">
        <f aca="false">IF(OR(O71="",E71="",E71="Fora"),"",MIN(24,S71)*((O71/12)/2-N(I71))+MAX(0,24-S71)*((O71/12)-N(I71))-N(H71))</f>
        <v/>
      </c>
      <c r="Z71" s="42" t="str">
        <f aca="false">IF(OR(E71="",E71="Fora"),"",IF(AND(E71="Onda 1",'AVALIAÇÃO MAPA'!AP71="SIM"),"Processo com trava na Onda 1. ","")&amp;IF(AND(E71="Onda 1",'AVALIAÇÃO MAPA'!AR71="SIM",AC71&lt;&gt;"P"),"Rota P sem o degrau P na simulação. ","")&amp;IF(AND(AD71=1,SUMIFS($AD$6:$AD$105,$E$6:$E$105,E71)&gt;2),"Mais de 2 projetos de automação nesta onda. ","")&amp;IF(AND(C71="Projeto estratégico",OR(N71="Protótipo",N71="Paralelo"),COUNTIFS($C$6:$C$105,"Projeto estratégico",$N$6:$N$105,"Protótipo")+COUNTIFS($C$6:$C$105,"Projeto estratégico",$N$6:$N$105,"Paralelo")&gt;1),"Mais de 1 projeto estratégico em execução. ","")&amp;IF(AND(N(Q71)&gt;0,OR(K71="",K71="Sem destino")),"Defina o destino das horas liberadas. ",""))</f>
        <v/>
      </c>
      <c r="AA71" s="43" t="str">
        <f aca="false">IF(OR(O71="",H71=""),"",IF(H71=0,0,IF(AND(((O71/12)/2-N(I71))&gt;0,H71&lt;=S71*((O71/12)/2-N(I71))),H71/((O71/12)/2-N(I71)),IF(((O71/12)-N(I71))&lt;=0,999,S71+(H71-S71*((O71/12)/2-N(I71)))/((O71/12)-N(I71))))))</f>
        <v/>
      </c>
      <c r="AB71" s="43" t="str">
        <f aca="false">IF(OR(T71="",H71=""),"",IF(H71=0,0,IF(AND(((T71/12)/2-N(I71))&gt;0,H71&lt;=S71*((T71/12)/2-N(I71))),H71/((T71/12)/2-N(I71)),IF(((T71/12)-N(I71))&lt;=0,999,S71+(H71-S71*((T71/12)/2-N(I71)))/((T71/12)-N(I71))))))</f>
        <v/>
      </c>
      <c r="AC71" s="19" t="str">
        <f aca="false">'AVALIAÇÃO MAPA'!AW71</f>
        <v/>
      </c>
      <c r="AD71" s="19" t="n">
        <f aca="false">IF(OR(AC71="A",AC71="IA"),1,0)</f>
        <v>0</v>
      </c>
    </row>
    <row r="72" customFormat="false" ht="15" hidden="false" customHeight="false" outlineLevel="0" collapsed="false">
      <c r="A72" s="15" t="n">
        <v>67</v>
      </c>
      <c r="B72" s="18" t="str">
        <f aca="false">'AVALIAÇÃO MAPA'!B72</f>
        <v/>
      </c>
      <c r="C72" s="15" t="str">
        <f aca="false">'AVALIAÇÃO MAPA'!AS72</f>
        <v/>
      </c>
      <c r="D72" s="38" t="str">
        <f aca="false">'AVALIAÇÃO MAPA'!AN72</f>
        <v/>
      </c>
      <c r="E72" s="16"/>
      <c r="F72" s="16"/>
      <c r="G72" s="39"/>
      <c r="H72" s="24"/>
      <c r="I72" s="24"/>
      <c r="J72" s="16"/>
      <c r="K72" s="16"/>
      <c r="L72" s="16"/>
      <c r="M72" s="39"/>
      <c r="N72" s="16"/>
      <c r="O72" s="27" t="str">
        <f aca="false">'AVALIAÇÃO MAPA'!BB72</f>
        <v/>
      </c>
      <c r="P72" s="27" t="str">
        <f aca="false">'AVALIAÇÃO MAPA'!AZ72</f>
        <v/>
      </c>
      <c r="Q72" s="27" t="str">
        <f aca="false">'AVALIAÇÃO MAPA'!BA72</f>
        <v/>
      </c>
      <c r="R72" s="38" t="str">
        <f aca="false">IF('AVALIAÇÃO MAPA'!BC72="","",'AVALIAÇÃO MAPA'!BC72/12)</f>
        <v/>
      </c>
      <c r="S72" s="38" t="n">
        <f aca="false">IF(J72&lt;&gt;"",J72,Transicao_Padrao)</f>
        <v>2</v>
      </c>
      <c r="T72" s="27" t="str">
        <f aca="false">IF(O72="","",P72+IF(AND(OR(K72="Receita",K72="Contratação evitada",K72="Horas extras"),L72&lt;&gt;"",M72&lt;&gt;""),Q72,0))</f>
        <v/>
      </c>
      <c r="U72" s="40" t="str">
        <f aca="false">IF(AA72="","",IF(AA72&gt;Limite_Payback,"acima de "&amp;Limite_Payback&amp;" meses",AA72))</f>
        <v/>
      </c>
      <c r="V72" s="40" t="str">
        <f aca="false">IF(AB72="","",IF(AB72&gt;Limite_Payback,"acima de "&amp;Limite_Payback&amp;" meses",AB72))</f>
        <v/>
      </c>
      <c r="W72" s="18" t="str">
        <f aca="false">IF(T72="","",IF(T72&gt;P72,"Inclui efeito em caixa + capacidade com destino financeiro comprovável","Somente efeito em caixa"))</f>
        <v/>
      </c>
      <c r="X72" s="41" t="str">
        <f aca="false">IF(OR(O72="",E72="",E72="Fora"),"",MIN(12,S72)*((O72/12)/2-N(I72))+MAX(0,12-S72)*((O72/12)-N(I72))-N(H72))</f>
        <v/>
      </c>
      <c r="Y72" s="41" t="str">
        <f aca="false">IF(OR(O72="",E72="",E72="Fora"),"",MIN(24,S72)*((O72/12)/2-N(I72))+MAX(0,24-S72)*((O72/12)-N(I72))-N(H72))</f>
        <v/>
      </c>
      <c r="Z72" s="42" t="str">
        <f aca="false">IF(OR(E72="",E72="Fora"),"",IF(AND(E72="Onda 1",'AVALIAÇÃO MAPA'!AP72="SIM"),"Processo com trava na Onda 1. ","")&amp;IF(AND(E72="Onda 1",'AVALIAÇÃO MAPA'!AR72="SIM",AC72&lt;&gt;"P"),"Rota P sem o degrau P na simulação. ","")&amp;IF(AND(AD72=1,SUMIFS($AD$6:$AD$105,$E$6:$E$105,E72)&gt;2),"Mais de 2 projetos de automação nesta onda. ","")&amp;IF(AND(C72="Projeto estratégico",OR(N72="Protótipo",N72="Paralelo"),COUNTIFS($C$6:$C$105,"Projeto estratégico",$N$6:$N$105,"Protótipo")+COUNTIFS($C$6:$C$105,"Projeto estratégico",$N$6:$N$105,"Paralelo")&gt;1),"Mais de 1 projeto estratégico em execução. ","")&amp;IF(AND(N(Q72)&gt;0,OR(K72="",K72="Sem destino")),"Defina o destino das horas liberadas. ",""))</f>
        <v/>
      </c>
      <c r="AA72" s="43" t="str">
        <f aca="false">IF(OR(O72="",H72=""),"",IF(H72=0,0,IF(AND(((O72/12)/2-N(I72))&gt;0,H72&lt;=S72*((O72/12)/2-N(I72))),H72/((O72/12)/2-N(I72)),IF(((O72/12)-N(I72))&lt;=0,999,S72+(H72-S72*((O72/12)/2-N(I72)))/((O72/12)-N(I72))))))</f>
        <v/>
      </c>
      <c r="AB72" s="43" t="str">
        <f aca="false">IF(OR(T72="",H72=""),"",IF(H72=0,0,IF(AND(((T72/12)/2-N(I72))&gt;0,H72&lt;=S72*((T72/12)/2-N(I72))),H72/((T72/12)/2-N(I72)),IF(((T72/12)-N(I72))&lt;=0,999,S72+(H72-S72*((T72/12)/2-N(I72)))/((T72/12)-N(I72))))))</f>
        <v/>
      </c>
      <c r="AC72" s="19" t="str">
        <f aca="false">'AVALIAÇÃO MAPA'!AW72</f>
        <v/>
      </c>
      <c r="AD72" s="19" t="n">
        <f aca="false">IF(OR(AC72="A",AC72="IA"),1,0)</f>
        <v>0</v>
      </c>
    </row>
    <row r="73" customFormat="false" ht="15" hidden="false" customHeight="false" outlineLevel="0" collapsed="false">
      <c r="A73" s="15" t="n">
        <v>68</v>
      </c>
      <c r="B73" s="18" t="str">
        <f aca="false">'AVALIAÇÃO MAPA'!B73</f>
        <v/>
      </c>
      <c r="C73" s="15" t="str">
        <f aca="false">'AVALIAÇÃO MAPA'!AS73</f>
        <v/>
      </c>
      <c r="D73" s="38" t="str">
        <f aca="false">'AVALIAÇÃO MAPA'!AN73</f>
        <v/>
      </c>
      <c r="E73" s="16"/>
      <c r="F73" s="16"/>
      <c r="G73" s="39"/>
      <c r="H73" s="24"/>
      <c r="I73" s="24"/>
      <c r="J73" s="16"/>
      <c r="K73" s="16"/>
      <c r="L73" s="16"/>
      <c r="M73" s="39"/>
      <c r="N73" s="16"/>
      <c r="O73" s="27" t="str">
        <f aca="false">'AVALIAÇÃO MAPA'!BB73</f>
        <v/>
      </c>
      <c r="P73" s="27" t="str">
        <f aca="false">'AVALIAÇÃO MAPA'!AZ73</f>
        <v/>
      </c>
      <c r="Q73" s="27" t="str">
        <f aca="false">'AVALIAÇÃO MAPA'!BA73</f>
        <v/>
      </c>
      <c r="R73" s="38" t="str">
        <f aca="false">IF('AVALIAÇÃO MAPA'!BC73="","",'AVALIAÇÃO MAPA'!BC73/12)</f>
        <v/>
      </c>
      <c r="S73" s="38" t="n">
        <f aca="false">IF(J73&lt;&gt;"",J73,Transicao_Padrao)</f>
        <v>2</v>
      </c>
      <c r="T73" s="27" t="str">
        <f aca="false">IF(O73="","",P73+IF(AND(OR(K73="Receita",K73="Contratação evitada",K73="Horas extras"),L73&lt;&gt;"",M73&lt;&gt;""),Q73,0))</f>
        <v/>
      </c>
      <c r="U73" s="40" t="str">
        <f aca="false">IF(AA73="","",IF(AA73&gt;Limite_Payback,"acima de "&amp;Limite_Payback&amp;" meses",AA73))</f>
        <v/>
      </c>
      <c r="V73" s="40" t="str">
        <f aca="false">IF(AB73="","",IF(AB73&gt;Limite_Payback,"acima de "&amp;Limite_Payback&amp;" meses",AB73))</f>
        <v/>
      </c>
      <c r="W73" s="18" t="str">
        <f aca="false">IF(T73="","",IF(T73&gt;P73,"Inclui efeito em caixa + capacidade com destino financeiro comprovável","Somente efeito em caixa"))</f>
        <v/>
      </c>
      <c r="X73" s="41" t="str">
        <f aca="false">IF(OR(O73="",E73="",E73="Fora"),"",MIN(12,S73)*((O73/12)/2-N(I73))+MAX(0,12-S73)*((O73/12)-N(I73))-N(H73))</f>
        <v/>
      </c>
      <c r="Y73" s="41" t="str">
        <f aca="false">IF(OR(O73="",E73="",E73="Fora"),"",MIN(24,S73)*((O73/12)/2-N(I73))+MAX(0,24-S73)*((O73/12)-N(I73))-N(H73))</f>
        <v/>
      </c>
      <c r="Z73" s="42" t="str">
        <f aca="false">IF(OR(E73="",E73="Fora"),"",IF(AND(E73="Onda 1",'AVALIAÇÃO MAPA'!AP73="SIM"),"Processo com trava na Onda 1. ","")&amp;IF(AND(E73="Onda 1",'AVALIAÇÃO MAPA'!AR73="SIM",AC73&lt;&gt;"P"),"Rota P sem o degrau P na simulação. ","")&amp;IF(AND(AD73=1,SUMIFS($AD$6:$AD$105,$E$6:$E$105,E73)&gt;2),"Mais de 2 projetos de automação nesta onda. ","")&amp;IF(AND(C73="Projeto estratégico",OR(N73="Protótipo",N73="Paralelo"),COUNTIFS($C$6:$C$105,"Projeto estratégico",$N$6:$N$105,"Protótipo")+COUNTIFS($C$6:$C$105,"Projeto estratégico",$N$6:$N$105,"Paralelo")&gt;1),"Mais de 1 projeto estratégico em execução. ","")&amp;IF(AND(N(Q73)&gt;0,OR(K73="",K73="Sem destino")),"Defina o destino das horas liberadas. ",""))</f>
        <v/>
      </c>
      <c r="AA73" s="43" t="str">
        <f aca="false">IF(OR(O73="",H73=""),"",IF(H73=0,0,IF(AND(((O73/12)/2-N(I73))&gt;0,H73&lt;=S73*((O73/12)/2-N(I73))),H73/((O73/12)/2-N(I73)),IF(((O73/12)-N(I73))&lt;=0,999,S73+(H73-S73*((O73/12)/2-N(I73)))/((O73/12)-N(I73))))))</f>
        <v/>
      </c>
      <c r="AB73" s="43" t="str">
        <f aca="false">IF(OR(T73="",H73=""),"",IF(H73=0,0,IF(AND(((T73/12)/2-N(I73))&gt;0,H73&lt;=S73*((T73/12)/2-N(I73))),H73/((T73/12)/2-N(I73)),IF(((T73/12)-N(I73))&lt;=0,999,S73+(H73-S73*((T73/12)/2-N(I73)))/((T73/12)-N(I73))))))</f>
        <v/>
      </c>
      <c r="AC73" s="19" t="str">
        <f aca="false">'AVALIAÇÃO MAPA'!AW73</f>
        <v/>
      </c>
      <c r="AD73" s="19" t="n">
        <f aca="false">IF(OR(AC73="A",AC73="IA"),1,0)</f>
        <v>0</v>
      </c>
    </row>
    <row r="74" customFormat="false" ht="15" hidden="false" customHeight="false" outlineLevel="0" collapsed="false">
      <c r="A74" s="15" t="n">
        <v>69</v>
      </c>
      <c r="B74" s="18" t="str">
        <f aca="false">'AVALIAÇÃO MAPA'!B74</f>
        <v/>
      </c>
      <c r="C74" s="15" t="str">
        <f aca="false">'AVALIAÇÃO MAPA'!AS74</f>
        <v/>
      </c>
      <c r="D74" s="38" t="str">
        <f aca="false">'AVALIAÇÃO MAPA'!AN74</f>
        <v/>
      </c>
      <c r="E74" s="16"/>
      <c r="F74" s="16"/>
      <c r="G74" s="39"/>
      <c r="H74" s="24"/>
      <c r="I74" s="24"/>
      <c r="J74" s="16"/>
      <c r="K74" s="16"/>
      <c r="L74" s="16"/>
      <c r="M74" s="39"/>
      <c r="N74" s="16"/>
      <c r="O74" s="27" t="str">
        <f aca="false">'AVALIAÇÃO MAPA'!BB74</f>
        <v/>
      </c>
      <c r="P74" s="27" t="str">
        <f aca="false">'AVALIAÇÃO MAPA'!AZ74</f>
        <v/>
      </c>
      <c r="Q74" s="27" t="str">
        <f aca="false">'AVALIAÇÃO MAPA'!BA74</f>
        <v/>
      </c>
      <c r="R74" s="38" t="str">
        <f aca="false">IF('AVALIAÇÃO MAPA'!BC74="","",'AVALIAÇÃO MAPA'!BC74/12)</f>
        <v/>
      </c>
      <c r="S74" s="38" t="n">
        <f aca="false">IF(J74&lt;&gt;"",J74,Transicao_Padrao)</f>
        <v>2</v>
      </c>
      <c r="T74" s="27" t="str">
        <f aca="false">IF(O74="","",P74+IF(AND(OR(K74="Receita",K74="Contratação evitada",K74="Horas extras"),L74&lt;&gt;"",M74&lt;&gt;""),Q74,0))</f>
        <v/>
      </c>
      <c r="U74" s="40" t="str">
        <f aca="false">IF(AA74="","",IF(AA74&gt;Limite_Payback,"acima de "&amp;Limite_Payback&amp;" meses",AA74))</f>
        <v/>
      </c>
      <c r="V74" s="40" t="str">
        <f aca="false">IF(AB74="","",IF(AB74&gt;Limite_Payback,"acima de "&amp;Limite_Payback&amp;" meses",AB74))</f>
        <v/>
      </c>
      <c r="W74" s="18" t="str">
        <f aca="false">IF(T74="","",IF(T74&gt;P74,"Inclui efeito em caixa + capacidade com destino financeiro comprovável","Somente efeito em caixa"))</f>
        <v/>
      </c>
      <c r="X74" s="41" t="str">
        <f aca="false">IF(OR(O74="",E74="",E74="Fora"),"",MIN(12,S74)*((O74/12)/2-N(I74))+MAX(0,12-S74)*((O74/12)-N(I74))-N(H74))</f>
        <v/>
      </c>
      <c r="Y74" s="41" t="str">
        <f aca="false">IF(OR(O74="",E74="",E74="Fora"),"",MIN(24,S74)*((O74/12)/2-N(I74))+MAX(0,24-S74)*((O74/12)-N(I74))-N(H74))</f>
        <v/>
      </c>
      <c r="Z74" s="42" t="str">
        <f aca="false">IF(OR(E74="",E74="Fora"),"",IF(AND(E74="Onda 1",'AVALIAÇÃO MAPA'!AP74="SIM"),"Processo com trava na Onda 1. ","")&amp;IF(AND(E74="Onda 1",'AVALIAÇÃO MAPA'!AR74="SIM",AC74&lt;&gt;"P"),"Rota P sem o degrau P na simulação. ","")&amp;IF(AND(AD74=1,SUMIFS($AD$6:$AD$105,$E$6:$E$105,E74)&gt;2),"Mais de 2 projetos de automação nesta onda. ","")&amp;IF(AND(C74="Projeto estratégico",OR(N74="Protótipo",N74="Paralelo"),COUNTIFS($C$6:$C$105,"Projeto estratégico",$N$6:$N$105,"Protótipo")+COUNTIFS($C$6:$C$105,"Projeto estratégico",$N$6:$N$105,"Paralelo")&gt;1),"Mais de 1 projeto estratégico em execução. ","")&amp;IF(AND(N(Q74)&gt;0,OR(K74="",K74="Sem destino")),"Defina o destino das horas liberadas. ",""))</f>
        <v/>
      </c>
      <c r="AA74" s="43" t="str">
        <f aca="false">IF(OR(O74="",H74=""),"",IF(H74=0,0,IF(AND(((O74/12)/2-N(I74))&gt;0,H74&lt;=S74*((O74/12)/2-N(I74))),H74/((O74/12)/2-N(I74)),IF(((O74/12)-N(I74))&lt;=0,999,S74+(H74-S74*((O74/12)/2-N(I74)))/((O74/12)-N(I74))))))</f>
        <v/>
      </c>
      <c r="AB74" s="43" t="str">
        <f aca="false">IF(OR(T74="",H74=""),"",IF(H74=0,0,IF(AND(((T74/12)/2-N(I74))&gt;0,H74&lt;=S74*((T74/12)/2-N(I74))),H74/((T74/12)/2-N(I74)),IF(((T74/12)-N(I74))&lt;=0,999,S74+(H74-S74*((T74/12)/2-N(I74)))/((T74/12)-N(I74))))))</f>
        <v/>
      </c>
      <c r="AC74" s="19" t="str">
        <f aca="false">'AVALIAÇÃO MAPA'!AW74</f>
        <v/>
      </c>
      <c r="AD74" s="19" t="n">
        <f aca="false">IF(OR(AC74="A",AC74="IA"),1,0)</f>
        <v>0</v>
      </c>
    </row>
    <row r="75" customFormat="false" ht="15" hidden="false" customHeight="false" outlineLevel="0" collapsed="false">
      <c r="A75" s="15" t="n">
        <v>70</v>
      </c>
      <c r="B75" s="18" t="str">
        <f aca="false">'AVALIAÇÃO MAPA'!B75</f>
        <v/>
      </c>
      <c r="C75" s="15" t="str">
        <f aca="false">'AVALIAÇÃO MAPA'!AS75</f>
        <v/>
      </c>
      <c r="D75" s="38" t="str">
        <f aca="false">'AVALIAÇÃO MAPA'!AN75</f>
        <v/>
      </c>
      <c r="E75" s="16"/>
      <c r="F75" s="16"/>
      <c r="G75" s="39"/>
      <c r="H75" s="24"/>
      <c r="I75" s="24"/>
      <c r="J75" s="16"/>
      <c r="K75" s="16"/>
      <c r="L75" s="16"/>
      <c r="M75" s="39"/>
      <c r="N75" s="16"/>
      <c r="O75" s="27" t="str">
        <f aca="false">'AVALIAÇÃO MAPA'!BB75</f>
        <v/>
      </c>
      <c r="P75" s="27" t="str">
        <f aca="false">'AVALIAÇÃO MAPA'!AZ75</f>
        <v/>
      </c>
      <c r="Q75" s="27" t="str">
        <f aca="false">'AVALIAÇÃO MAPA'!BA75</f>
        <v/>
      </c>
      <c r="R75" s="38" t="str">
        <f aca="false">IF('AVALIAÇÃO MAPA'!BC75="","",'AVALIAÇÃO MAPA'!BC75/12)</f>
        <v/>
      </c>
      <c r="S75" s="38" t="n">
        <f aca="false">IF(J75&lt;&gt;"",J75,Transicao_Padrao)</f>
        <v>2</v>
      </c>
      <c r="T75" s="27" t="str">
        <f aca="false">IF(O75="","",P75+IF(AND(OR(K75="Receita",K75="Contratação evitada",K75="Horas extras"),L75&lt;&gt;"",M75&lt;&gt;""),Q75,0))</f>
        <v/>
      </c>
      <c r="U75" s="40" t="str">
        <f aca="false">IF(AA75="","",IF(AA75&gt;Limite_Payback,"acima de "&amp;Limite_Payback&amp;" meses",AA75))</f>
        <v/>
      </c>
      <c r="V75" s="40" t="str">
        <f aca="false">IF(AB75="","",IF(AB75&gt;Limite_Payback,"acima de "&amp;Limite_Payback&amp;" meses",AB75))</f>
        <v/>
      </c>
      <c r="W75" s="18" t="str">
        <f aca="false">IF(T75="","",IF(T75&gt;P75,"Inclui efeito em caixa + capacidade com destino financeiro comprovável","Somente efeito em caixa"))</f>
        <v/>
      </c>
      <c r="X75" s="41" t="str">
        <f aca="false">IF(OR(O75="",E75="",E75="Fora"),"",MIN(12,S75)*((O75/12)/2-N(I75))+MAX(0,12-S75)*((O75/12)-N(I75))-N(H75))</f>
        <v/>
      </c>
      <c r="Y75" s="41" t="str">
        <f aca="false">IF(OR(O75="",E75="",E75="Fora"),"",MIN(24,S75)*((O75/12)/2-N(I75))+MAX(0,24-S75)*((O75/12)-N(I75))-N(H75))</f>
        <v/>
      </c>
      <c r="Z75" s="42" t="str">
        <f aca="false">IF(OR(E75="",E75="Fora"),"",IF(AND(E75="Onda 1",'AVALIAÇÃO MAPA'!AP75="SIM"),"Processo com trava na Onda 1. ","")&amp;IF(AND(E75="Onda 1",'AVALIAÇÃO MAPA'!AR75="SIM",AC75&lt;&gt;"P"),"Rota P sem o degrau P na simulação. ","")&amp;IF(AND(AD75=1,SUMIFS($AD$6:$AD$105,$E$6:$E$105,E75)&gt;2),"Mais de 2 projetos de automação nesta onda. ","")&amp;IF(AND(C75="Projeto estratégico",OR(N75="Protótipo",N75="Paralelo"),COUNTIFS($C$6:$C$105,"Projeto estratégico",$N$6:$N$105,"Protótipo")+COUNTIFS($C$6:$C$105,"Projeto estratégico",$N$6:$N$105,"Paralelo")&gt;1),"Mais de 1 projeto estratégico em execução. ","")&amp;IF(AND(N(Q75)&gt;0,OR(K75="",K75="Sem destino")),"Defina o destino das horas liberadas. ",""))</f>
        <v/>
      </c>
      <c r="AA75" s="43" t="str">
        <f aca="false">IF(OR(O75="",H75=""),"",IF(H75=0,0,IF(AND(((O75/12)/2-N(I75))&gt;0,H75&lt;=S75*((O75/12)/2-N(I75))),H75/((O75/12)/2-N(I75)),IF(((O75/12)-N(I75))&lt;=0,999,S75+(H75-S75*((O75/12)/2-N(I75)))/((O75/12)-N(I75))))))</f>
        <v/>
      </c>
      <c r="AB75" s="43" t="str">
        <f aca="false">IF(OR(T75="",H75=""),"",IF(H75=0,0,IF(AND(((T75/12)/2-N(I75))&gt;0,H75&lt;=S75*((T75/12)/2-N(I75))),H75/((T75/12)/2-N(I75)),IF(((T75/12)-N(I75))&lt;=0,999,S75+(H75-S75*((T75/12)/2-N(I75)))/((T75/12)-N(I75))))))</f>
        <v/>
      </c>
      <c r="AC75" s="19" t="str">
        <f aca="false">'AVALIAÇÃO MAPA'!AW75</f>
        <v/>
      </c>
      <c r="AD75" s="19" t="n">
        <f aca="false">IF(OR(AC75="A",AC75="IA"),1,0)</f>
        <v>0</v>
      </c>
    </row>
    <row r="76" customFormat="false" ht="15" hidden="false" customHeight="false" outlineLevel="0" collapsed="false">
      <c r="A76" s="15" t="n">
        <v>71</v>
      </c>
      <c r="B76" s="18" t="str">
        <f aca="false">'AVALIAÇÃO MAPA'!B76</f>
        <v/>
      </c>
      <c r="C76" s="15" t="str">
        <f aca="false">'AVALIAÇÃO MAPA'!AS76</f>
        <v/>
      </c>
      <c r="D76" s="38" t="str">
        <f aca="false">'AVALIAÇÃO MAPA'!AN76</f>
        <v/>
      </c>
      <c r="E76" s="16"/>
      <c r="F76" s="16"/>
      <c r="G76" s="39"/>
      <c r="H76" s="24"/>
      <c r="I76" s="24"/>
      <c r="J76" s="16"/>
      <c r="K76" s="16"/>
      <c r="L76" s="16"/>
      <c r="M76" s="39"/>
      <c r="N76" s="16"/>
      <c r="O76" s="27" t="str">
        <f aca="false">'AVALIAÇÃO MAPA'!BB76</f>
        <v/>
      </c>
      <c r="P76" s="27" t="str">
        <f aca="false">'AVALIAÇÃO MAPA'!AZ76</f>
        <v/>
      </c>
      <c r="Q76" s="27" t="str">
        <f aca="false">'AVALIAÇÃO MAPA'!BA76</f>
        <v/>
      </c>
      <c r="R76" s="38" t="str">
        <f aca="false">IF('AVALIAÇÃO MAPA'!BC76="","",'AVALIAÇÃO MAPA'!BC76/12)</f>
        <v/>
      </c>
      <c r="S76" s="38" t="n">
        <f aca="false">IF(J76&lt;&gt;"",J76,Transicao_Padrao)</f>
        <v>2</v>
      </c>
      <c r="T76" s="27" t="str">
        <f aca="false">IF(O76="","",P76+IF(AND(OR(K76="Receita",K76="Contratação evitada",K76="Horas extras"),L76&lt;&gt;"",M76&lt;&gt;""),Q76,0))</f>
        <v/>
      </c>
      <c r="U76" s="40" t="str">
        <f aca="false">IF(AA76="","",IF(AA76&gt;Limite_Payback,"acima de "&amp;Limite_Payback&amp;" meses",AA76))</f>
        <v/>
      </c>
      <c r="V76" s="40" t="str">
        <f aca="false">IF(AB76="","",IF(AB76&gt;Limite_Payback,"acima de "&amp;Limite_Payback&amp;" meses",AB76))</f>
        <v/>
      </c>
      <c r="W76" s="18" t="str">
        <f aca="false">IF(T76="","",IF(T76&gt;P76,"Inclui efeito em caixa + capacidade com destino financeiro comprovável","Somente efeito em caixa"))</f>
        <v/>
      </c>
      <c r="X76" s="41" t="str">
        <f aca="false">IF(OR(O76="",E76="",E76="Fora"),"",MIN(12,S76)*((O76/12)/2-N(I76))+MAX(0,12-S76)*((O76/12)-N(I76))-N(H76))</f>
        <v/>
      </c>
      <c r="Y76" s="41" t="str">
        <f aca="false">IF(OR(O76="",E76="",E76="Fora"),"",MIN(24,S76)*((O76/12)/2-N(I76))+MAX(0,24-S76)*((O76/12)-N(I76))-N(H76))</f>
        <v/>
      </c>
      <c r="Z76" s="42" t="str">
        <f aca="false">IF(OR(E76="",E76="Fora"),"",IF(AND(E76="Onda 1",'AVALIAÇÃO MAPA'!AP76="SIM"),"Processo com trava na Onda 1. ","")&amp;IF(AND(E76="Onda 1",'AVALIAÇÃO MAPA'!AR76="SIM",AC76&lt;&gt;"P"),"Rota P sem o degrau P na simulação. ","")&amp;IF(AND(AD76=1,SUMIFS($AD$6:$AD$105,$E$6:$E$105,E76)&gt;2),"Mais de 2 projetos de automação nesta onda. ","")&amp;IF(AND(C76="Projeto estratégico",OR(N76="Protótipo",N76="Paralelo"),COUNTIFS($C$6:$C$105,"Projeto estratégico",$N$6:$N$105,"Protótipo")+COUNTIFS($C$6:$C$105,"Projeto estratégico",$N$6:$N$105,"Paralelo")&gt;1),"Mais de 1 projeto estratégico em execução. ","")&amp;IF(AND(N(Q76)&gt;0,OR(K76="",K76="Sem destino")),"Defina o destino das horas liberadas. ",""))</f>
        <v/>
      </c>
      <c r="AA76" s="43" t="str">
        <f aca="false">IF(OR(O76="",H76=""),"",IF(H76=0,0,IF(AND(((O76/12)/2-N(I76))&gt;0,H76&lt;=S76*((O76/12)/2-N(I76))),H76/((O76/12)/2-N(I76)),IF(((O76/12)-N(I76))&lt;=0,999,S76+(H76-S76*((O76/12)/2-N(I76)))/((O76/12)-N(I76))))))</f>
        <v/>
      </c>
      <c r="AB76" s="43" t="str">
        <f aca="false">IF(OR(T76="",H76=""),"",IF(H76=0,0,IF(AND(((T76/12)/2-N(I76))&gt;0,H76&lt;=S76*((T76/12)/2-N(I76))),H76/((T76/12)/2-N(I76)),IF(((T76/12)-N(I76))&lt;=0,999,S76+(H76-S76*((T76/12)/2-N(I76)))/((T76/12)-N(I76))))))</f>
        <v/>
      </c>
      <c r="AC76" s="19" t="str">
        <f aca="false">'AVALIAÇÃO MAPA'!AW76</f>
        <v/>
      </c>
      <c r="AD76" s="19" t="n">
        <f aca="false">IF(OR(AC76="A",AC76="IA"),1,0)</f>
        <v>0</v>
      </c>
    </row>
    <row r="77" customFormat="false" ht="15" hidden="false" customHeight="false" outlineLevel="0" collapsed="false">
      <c r="A77" s="15" t="n">
        <v>72</v>
      </c>
      <c r="B77" s="18" t="str">
        <f aca="false">'AVALIAÇÃO MAPA'!B77</f>
        <v/>
      </c>
      <c r="C77" s="15" t="str">
        <f aca="false">'AVALIAÇÃO MAPA'!AS77</f>
        <v/>
      </c>
      <c r="D77" s="38" t="str">
        <f aca="false">'AVALIAÇÃO MAPA'!AN77</f>
        <v/>
      </c>
      <c r="E77" s="16"/>
      <c r="F77" s="16"/>
      <c r="G77" s="39"/>
      <c r="H77" s="24"/>
      <c r="I77" s="24"/>
      <c r="J77" s="16"/>
      <c r="K77" s="16"/>
      <c r="L77" s="16"/>
      <c r="M77" s="39"/>
      <c r="N77" s="16"/>
      <c r="O77" s="27" t="str">
        <f aca="false">'AVALIAÇÃO MAPA'!BB77</f>
        <v/>
      </c>
      <c r="P77" s="27" t="str">
        <f aca="false">'AVALIAÇÃO MAPA'!AZ77</f>
        <v/>
      </c>
      <c r="Q77" s="27" t="str">
        <f aca="false">'AVALIAÇÃO MAPA'!BA77</f>
        <v/>
      </c>
      <c r="R77" s="38" t="str">
        <f aca="false">IF('AVALIAÇÃO MAPA'!BC77="","",'AVALIAÇÃO MAPA'!BC77/12)</f>
        <v/>
      </c>
      <c r="S77" s="38" t="n">
        <f aca="false">IF(J77&lt;&gt;"",J77,Transicao_Padrao)</f>
        <v>2</v>
      </c>
      <c r="T77" s="27" t="str">
        <f aca="false">IF(O77="","",P77+IF(AND(OR(K77="Receita",K77="Contratação evitada",K77="Horas extras"),L77&lt;&gt;"",M77&lt;&gt;""),Q77,0))</f>
        <v/>
      </c>
      <c r="U77" s="40" t="str">
        <f aca="false">IF(AA77="","",IF(AA77&gt;Limite_Payback,"acima de "&amp;Limite_Payback&amp;" meses",AA77))</f>
        <v/>
      </c>
      <c r="V77" s="40" t="str">
        <f aca="false">IF(AB77="","",IF(AB77&gt;Limite_Payback,"acima de "&amp;Limite_Payback&amp;" meses",AB77))</f>
        <v/>
      </c>
      <c r="W77" s="18" t="str">
        <f aca="false">IF(T77="","",IF(T77&gt;P77,"Inclui efeito em caixa + capacidade com destino financeiro comprovável","Somente efeito em caixa"))</f>
        <v/>
      </c>
      <c r="X77" s="41" t="str">
        <f aca="false">IF(OR(O77="",E77="",E77="Fora"),"",MIN(12,S77)*((O77/12)/2-N(I77))+MAX(0,12-S77)*((O77/12)-N(I77))-N(H77))</f>
        <v/>
      </c>
      <c r="Y77" s="41" t="str">
        <f aca="false">IF(OR(O77="",E77="",E77="Fora"),"",MIN(24,S77)*((O77/12)/2-N(I77))+MAX(0,24-S77)*((O77/12)-N(I77))-N(H77))</f>
        <v/>
      </c>
      <c r="Z77" s="42" t="str">
        <f aca="false">IF(OR(E77="",E77="Fora"),"",IF(AND(E77="Onda 1",'AVALIAÇÃO MAPA'!AP77="SIM"),"Processo com trava na Onda 1. ","")&amp;IF(AND(E77="Onda 1",'AVALIAÇÃO MAPA'!AR77="SIM",AC77&lt;&gt;"P"),"Rota P sem o degrau P na simulação. ","")&amp;IF(AND(AD77=1,SUMIFS($AD$6:$AD$105,$E$6:$E$105,E77)&gt;2),"Mais de 2 projetos de automação nesta onda. ","")&amp;IF(AND(C77="Projeto estratégico",OR(N77="Protótipo",N77="Paralelo"),COUNTIFS($C$6:$C$105,"Projeto estratégico",$N$6:$N$105,"Protótipo")+COUNTIFS($C$6:$C$105,"Projeto estratégico",$N$6:$N$105,"Paralelo")&gt;1),"Mais de 1 projeto estratégico em execução. ","")&amp;IF(AND(N(Q77)&gt;0,OR(K77="",K77="Sem destino")),"Defina o destino das horas liberadas. ",""))</f>
        <v/>
      </c>
      <c r="AA77" s="43" t="str">
        <f aca="false">IF(OR(O77="",H77=""),"",IF(H77=0,0,IF(AND(((O77/12)/2-N(I77))&gt;0,H77&lt;=S77*((O77/12)/2-N(I77))),H77/((O77/12)/2-N(I77)),IF(((O77/12)-N(I77))&lt;=0,999,S77+(H77-S77*((O77/12)/2-N(I77)))/((O77/12)-N(I77))))))</f>
        <v/>
      </c>
      <c r="AB77" s="43" t="str">
        <f aca="false">IF(OR(T77="",H77=""),"",IF(H77=0,0,IF(AND(((T77/12)/2-N(I77))&gt;0,H77&lt;=S77*((T77/12)/2-N(I77))),H77/((T77/12)/2-N(I77)),IF(((T77/12)-N(I77))&lt;=0,999,S77+(H77-S77*((T77/12)/2-N(I77)))/((T77/12)-N(I77))))))</f>
        <v/>
      </c>
      <c r="AC77" s="19" t="str">
        <f aca="false">'AVALIAÇÃO MAPA'!AW77</f>
        <v/>
      </c>
      <c r="AD77" s="19" t="n">
        <f aca="false">IF(OR(AC77="A",AC77="IA"),1,0)</f>
        <v>0</v>
      </c>
    </row>
    <row r="78" customFormat="false" ht="15" hidden="false" customHeight="false" outlineLevel="0" collapsed="false">
      <c r="A78" s="15" t="n">
        <v>73</v>
      </c>
      <c r="B78" s="18" t="str">
        <f aca="false">'AVALIAÇÃO MAPA'!B78</f>
        <v/>
      </c>
      <c r="C78" s="15" t="str">
        <f aca="false">'AVALIAÇÃO MAPA'!AS78</f>
        <v/>
      </c>
      <c r="D78" s="38" t="str">
        <f aca="false">'AVALIAÇÃO MAPA'!AN78</f>
        <v/>
      </c>
      <c r="E78" s="16"/>
      <c r="F78" s="16"/>
      <c r="G78" s="39"/>
      <c r="H78" s="24"/>
      <c r="I78" s="24"/>
      <c r="J78" s="16"/>
      <c r="K78" s="16"/>
      <c r="L78" s="16"/>
      <c r="M78" s="39"/>
      <c r="N78" s="16"/>
      <c r="O78" s="27" t="str">
        <f aca="false">'AVALIAÇÃO MAPA'!BB78</f>
        <v/>
      </c>
      <c r="P78" s="27" t="str">
        <f aca="false">'AVALIAÇÃO MAPA'!AZ78</f>
        <v/>
      </c>
      <c r="Q78" s="27" t="str">
        <f aca="false">'AVALIAÇÃO MAPA'!BA78</f>
        <v/>
      </c>
      <c r="R78" s="38" t="str">
        <f aca="false">IF('AVALIAÇÃO MAPA'!BC78="","",'AVALIAÇÃO MAPA'!BC78/12)</f>
        <v/>
      </c>
      <c r="S78" s="38" t="n">
        <f aca="false">IF(J78&lt;&gt;"",J78,Transicao_Padrao)</f>
        <v>2</v>
      </c>
      <c r="T78" s="27" t="str">
        <f aca="false">IF(O78="","",P78+IF(AND(OR(K78="Receita",K78="Contratação evitada",K78="Horas extras"),L78&lt;&gt;"",M78&lt;&gt;""),Q78,0))</f>
        <v/>
      </c>
      <c r="U78" s="40" t="str">
        <f aca="false">IF(AA78="","",IF(AA78&gt;Limite_Payback,"acima de "&amp;Limite_Payback&amp;" meses",AA78))</f>
        <v/>
      </c>
      <c r="V78" s="40" t="str">
        <f aca="false">IF(AB78="","",IF(AB78&gt;Limite_Payback,"acima de "&amp;Limite_Payback&amp;" meses",AB78))</f>
        <v/>
      </c>
      <c r="W78" s="18" t="str">
        <f aca="false">IF(T78="","",IF(T78&gt;P78,"Inclui efeito em caixa + capacidade com destino financeiro comprovável","Somente efeito em caixa"))</f>
        <v/>
      </c>
      <c r="X78" s="41" t="str">
        <f aca="false">IF(OR(O78="",E78="",E78="Fora"),"",MIN(12,S78)*((O78/12)/2-N(I78))+MAX(0,12-S78)*((O78/12)-N(I78))-N(H78))</f>
        <v/>
      </c>
      <c r="Y78" s="41" t="str">
        <f aca="false">IF(OR(O78="",E78="",E78="Fora"),"",MIN(24,S78)*((O78/12)/2-N(I78))+MAX(0,24-S78)*((O78/12)-N(I78))-N(H78))</f>
        <v/>
      </c>
      <c r="Z78" s="42" t="str">
        <f aca="false">IF(OR(E78="",E78="Fora"),"",IF(AND(E78="Onda 1",'AVALIAÇÃO MAPA'!AP78="SIM"),"Processo com trava na Onda 1. ","")&amp;IF(AND(E78="Onda 1",'AVALIAÇÃO MAPA'!AR78="SIM",AC78&lt;&gt;"P"),"Rota P sem o degrau P na simulação. ","")&amp;IF(AND(AD78=1,SUMIFS($AD$6:$AD$105,$E$6:$E$105,E78)&gt;2),"Mais de 2 projetos de automação nesta onda. ","")&amp;IF(AND(C78="Projeto estratégico",OR(N78="Protótipo",N78="Paralelo"),COUNTIFS($C$6:$C$105,"Projeto estratégico",$N$6:$N$105,"Protótipo")+COUNTIFS($C$6:$C$105,"Projeto estratégico",$N$6:$N$105,"Paralelo")&gt;1),"Mais de 1 projeto estratégico em execução. ","")&amp;IF(AND(N(Q78)&gt;0,OR(K78="",K78="Sem destino")),"Defina o destino das horas liberadas. ",""))</f>
        <v/>
      </c>
      <c r="AA78" s="43" t="str">
        <f aca="false">IF(OR(O78="",H78=""),"",IF(H78=0,0,IF(AND(((O78/12)/2-N(I78))&gt;0,H78&lt;=S78*((O78/12)/2-N(I78))),H78/((O78/12)/2-N(I78)),IF(((O78/12)-N(I78))&lt;=0,999,S78+(H78-S78*((O78/12)/2-N(I78)))/((O78/12)-N(I78))))))</f>
        <v/>
      </c>
      <c r="AB78" s="43" t="str">
        <f aca="false">IF(OR(T78="",H78=""),"",IF(H78=0,0,IF(AND(((T78/12)/2-N(I78))&gt;0,H78&lt;=S78*((T78/12)/2-N(I78))),H78/((T78/12)/2-N(I78)),IF(((T78/12)-N(I78))&lt;=0,999,S78+(H78-S78*((T78/12)/2-N(I78)))/((T78/12)-N(I78))))))</f>
        <v/>
      </c>
      <c r="AC78" s="19" t="str">
        <f aca="false">'AVALIAÇÃO MAPA'!AW78</f>
        <v/>
      </c>
      <c r="AD78" s="19" t="n">
        <f aca="false">IF(OR(AC78="A",AC78="IA"),1,0)</f>
        <v>0</v>
      </c>
    </row>
    <row r="79" customFormat="false" ht="15" hidden="false" customHeight="false" outlineLevel="0" collapsed="false">
      <c r="A79" s="15" t="n">
        <v>74</v>
      </c>
      <c r="B79" s="18" t="str">
        <f aca="false">'AVALIAÇÃO MAPA'!B79</f>
        <v/>
      </c>
      <c r="C79" s="15" t="str">
        <f aca="false">'AVALIAÇÃO MAPA'!AS79</f>
        <v/>
      </c>
      <c r="D79" s="38" t="str">
        <f aca="false">'AVALIAÇÃO MAPA'!AN79</f>
        <v/>
      </c>
      <c r="E79" s="16"/>
      <c r="F79" s="16"/>
      <c r="G79" s="39"/>
      <c r="H79" s="24"/>
      <c r="I79" s="24"/>
      <c r="J79" s="16"/>
      <c r="K79" s="16"/>
      <c r="L79" s="16"/>
      <c r="M79" s="39"/>
      <c r="N79" s="16"/>
      <c r="O79" s="27" t="str">
        <f aca="false">'AVALIAÇÃO MAPA'!BB79</f>
        <v/>
      </c>
      <c r="P79" s="27" t="str">
        <f aca="false">'AVALIAÇÃO MAPA'!AZ79</f>
        <v/>
      </c>
      <c r="Q79" s="27" t="str">
        <f aca="false">'AVALIAÇÃO MAPA'!BA79</f>
        <v/>
      </c>
      <c r="R79" s="38" t="str">
        <f aca="false">IF('AVALIAÇÃO MAPA'!BC79="","",'AVALIAÇÃO MAPA'!BC79/12)</f>
        <v/>
      </c>
      <c r="S79" s="38" t="n">
        <f aca="false">IF(J79&lt;&gt;"",J79,Transicao_Padrao)</f>
        <v>2</v>
      </c>
      <c r="T79" s="27" t="str">
        <f aca="false">IF(O79="","",P79+IF(AND(OR(K79="Receita",K79="Contratação evitada",K79="Horas extras"),L79&lt;&gt;"",M79&lt;&gt;""),Q79,0))</f>
        <v/>
      </c>
      <c r="U79" s="40" t="str">
        <f aca="false">IF(AA79="","",IF(AA79&gt;Limite_Payback,"acima de "&amp;Limite_Payback&amp;" meses",AA79))</f>
        <v/>
      </c>
      <c r="V79" s="40" t="str">
        <f aca="false">IF(AB79="","",IF(AB79&gt;Limite_Payback,"acima de "&amp;Limite_Payback&amp;" meses",AB79))</f>
        <v/>
      </c>
      <c r="W79" s="18" t="str">
        <f aca="false">IF(T79="","",IF(T79&gt;P79,"Inclui efeito em caixa + capacidade com destino financeiro comprovável","Somente efeito em caixa"))</f>
        <v/>
      </c>
      <c r="X79" s="41" t="str">
        <f aca="false">IF(OR(O79="",E79="",E79="Fora"),"",MIN(12,S79)*((O79/12)/2-N(I79))+MAX(0,12-S79)*((O79/12)-N(I79))-N(H79))</f>
        <v/>
      </c>
      <c r="Y79" s="41" t="str">
        <f aca="false">IF(OR(O79="",E79="",E79="Fora"),"",MIN(24,S79)*((O79/12)/2-N(I79))+MAX(0,24-S79)*((O79/12)-N(I79))-N(H79))</f>
        <v/>
      </c>
      <c r="Z79" s="42" t="str">
        <f aca="false">IF(OR(E79="",E79="Fora"),"",IF(AND(E79="Onda 1",'AVALIAÇÃO MAPA'!AP79="SIM"),"Processo com trava na Onda 1. ","")&amp;IF(AND(E79="Onda 1",'AVALIAÇÃO MAPA'!AR79="SIM",AC79&lt;&gt;"P"),"Rota P sem o degrau P na simulação. ","")&amp;IF(AND(AD79=1,SUMIFS($AD$6:$AD$105,$E$6:$E$105,E79)&gt;2),"Mais de 2 projetos de automação nesta onda. ","")&amp;IF(AND(C79="Projeto estratégico",OR(N79="Protótipo",N79="Paralelo"),COUNTIFS($C$6:$C$105,"Projeto estratégico",$N$6:$N$105,"Protótipo")+COUNTIFS($C$6:$C$105,"Projeto estratégico",$N$6:$N$105,"Paralelo")&gt;1),"Mais de 1 projeto estratégico em execução. ","")&amp;IF(AND(N(Q79)&gt;0,OR(K79="",K79="Sem destino")),"Defina o destino das horas liberadas. ",""))</f>
        <v/>
      </c>
      <c r="AA79" s="43" t="str">
        <f aca="false">IF(OR(O79="",H79=""),"",IF(H79=0,0,IF(AND(((O79/12)/2-N(I79))&gt;0,H79&lt;=S79*((O79/12)/2-N(I79))),H79/((O79/12)/2-N(I79)),IF(((O79/12)-N(I79))&lt;=0,999,S79+(H79-S79*((O79/12)/2-N(I79)))/((O79/12)-N(I79))))))</f>
        <v/>
      </c>
      <c r="AB79" s="43" t="str">
        <f aca="false">IF(OR(T79="",H79=""),"",IF(H79=0,0,IF(AND(((T79/12)/2-N(I79))&gt;0,H79&lt;=S79*((T79/12)/2-N(I79))),H79/((T79/12)/2-N(I79)),IF(((T79/12)-N(I79))&lt;=0,999,S79+(H79-S79*((T79/12)/2-N(I79)))/((T79/12)-N(I79))))))</f>
        <v/>
      </c>
      <c r="AC79" s="19" t="str">
        <f aca="false">'AVALIAÇÃO MAPA'!AW79</f>
        <v/>
      </c>
      <c r="AD79" s="19" t="n">
        <f aca="false">IF(OR(AC79="A",AC79="IA"),1,0)</f>
        <v>0</v>
      </c>
    </row>
    <row r="80" customFormat="false" ht="15" hidden="false" customHeight="false" outlineLevel="0" collapsed="false">
      <c r="A80" s="15" t="n">
        <v>75</v>
      </c>
      <c r="B80" s="18" t="str">
        <f aca="false">'AVALIAÇÃO MAPA'!B80</f>
        <v/>
      </c>
      <c r="C80" s="15" t="str">
        <f aca="false">'AVALIAÇÃO MAPA'!AS80</f>
        <v/>
      </c>
      <c r="D80" s="38" t="str">
        <f aca="false">'AVALIAÇÃO MAPA'!AN80</f>
        <v/>
      </c>
      <c r="E80" s="16"/>
      <c r="F80" s="16"/>
      <c r="G80" s="39"/>
      <c r="H80" s="24"/>
      <c r="I80" s="24"/>
      <c r="J80" s="16"/>
      <c r="K80" s="16"/>
      <c r="L80" s="16"/>
      <c r="M80" s="39"/>
      <c r="N80" s="16"/>
      <c r="O80" s="27" t="str">
        <f aca="false">'AVALIAÇÃO MAPA'!BB80</f>
        <v/>
      </c>
      <c r="P80" s="27" t="str">
        <f aca="false">'AVALIAÇÃO MAPA'!AZ80</f>
        <v/>
      </c>
      <c r="Q80" s="27" t="str">
        <f aca="false">'AVALIAÇÃO MAPA'!BA80</f>
        <v/>
      </c>
      <c r="R80" s="38" t="str">
        <f aca="false">IF('AVALIAÇÃO MAPA'!BC80="","",'AVALIAÇÃO MAPA'!BC80/12)</f>
        <v/>
      </c>
      <c r="S80" s="38" t="n">
        <f aca="false">IF(J80&lt;&gt;"",J80,Transicao_Padrao)</f>
        <v>2</v>
      </c>
      <c r="T80" s="27" t="str">
        <f aca="false">IF(O80="","",P80+IF(AND(OR(K80="Receita",K80="Contratação evitada",K80="Horas extras"),L80&lt;&gt;"",M80&lt;&gt;""),Q80,0))</f>
        <v/>
      </c>
      <c r="U80" s="40" t="str">
        <f aca="false">IF(AA80="","",IF(AA80&gt;Limite_Payback,"acima de "&amp;Limite_Payback&amp;" meses",AA80))</f>
        <v/>
      </c>
      <c r="V80" s="40" t="str">
        <f aca="false">IF(AB80="","",IF(AB80&gt;Limite_Payback,"acima de "&amp;Limite_Payback&amp;" meses",AB80))</f>
        <v/>
      </c>
      <c r="W80" s="18" t="str">
        <f aca="false">IF(T80="","",IF(T80&gt;P80,"Inclui efeito em caixa + capacidade com destino financeiro comprovável","Somente efeito em caixa"))</f>
        <v/>
      </c>
      <c r="X80" s="41" t="str">
        <f aca="false">IF(OR(O80="",E80="",E80="Fora"),"",MIN(12,S80)*((O80/12)/2-N(I80))+MAX(0,12-S80)*((O80/12)-N(I80))-N(H80))</f>
        <v/>
      </c>
      <c r="Y80" s="41" t="str">
        <f aca="false">IF(OR(O80="",E80="",E80="Fora"),"",MIN(24,S80)*((O80/12)/2-N(I80))+MAX(0,24-S80)*((O80/12)-N(I80))-N(H80))</f>
        <v/>
      </c>
      <c r="Z80" s="42" t="str">
        <f aca="false">IF(OR(E80="",E80="Fora"),"",IF(AND(E80="Onda 1",'AVALIAÇÃO MAPA'!AP80="SIM"),"Processo com trava na Onda 1. ","")&amp;IF(AND(E80="Onda 1",'AVALIAÇÃO MAPA'!AR80="SIM",AC80&lt;&gt;"P"),"Rota P sem o degrau P na simulação. ","")&amp;IF(AND(AD80=1,SUMIFS($AD$6:$AD$105,$E$6:$E$105,E80)&gt;2),"Mais de 2 projetos de automação nesta onda. ","")&amp;IF(AND(C80="Projeto estratégico",OR(N80="Protótipo",N80="Paralelo"),COUNTIFS($C$6:$C$105,"Projeto estratégico",$N$6:$N$105,"Protótipo")+COUNTIFS($C$6:$C$105,"Projeto estratégico",$N$6:$N$105,"Paralelo")&gt;1),"Mais de 1 projeto estratégico em execução. ","")&amp;IF(AND(N(Q80)&gt;0,OR(K80="",K80="Sem destino")),"Defina o destino das horas liberadas. ",""))</f>
        <v/>
      </c>
      <c r="AA80" s="43" t="str">
        <f aca="false">IF(OR(O80="",H80=""),"",IF(H80=0,0,IF(AND(((O80/12)/2-N(I80))&gt;0,H80&lt;=S80*((O80/12)/2-N(I80))),H80/((O80/12)/2-N(I80)),IF(((O80/12)-N(I80))&lt;=0,999,S80+(H80-S80*((O80/12)/2-N(I80)))/((O80/12)-N(I80))))))</f>
        <v/>
      </c>
      <c r="AB80" s="43" t="str">
        <f aca="false">IF(OR(T80="",H80=""),"",IF(H80=0,0,IF(AND(((T80/12)/2-N(I80))&gt;0,H80&lt;=S80*((T80/12)/2-N(I80))),H80/((T80/12)/2-N(I80)),IF(((T80/12)-N(I80))&lt;=0,999,S80+(H80-S80*((T80/12)/2-N(I80)))/((T80/12)-N(I80))))))</f>
        <v/>
      </c>
      <c r="AC80" s="19" t="str">
        <f aca="false">'AVALIAÇÃO MAPA'!AW80</f>
        <v/>
      </c>
      <c r="AD80" s="19" t="n">
        <f aca="false">IF(OR(AC80="A",AC80="IA"),1,0)</f>
        <v>0</v>
      </c>
    </row>
    <row r="81" customFormat="false" ht="15" hidden="false" customHeight="false" outlineLevel="0" collapsed="false">
      <c r="A81" s="15" t="n">
        <v>76</v>
      </c>
      <c r="B81" s="18" t="str">
        <f aca="false">'AVALIAÇÃO MAPA'!B81</f>
        <v/>
      </c>
      <c r="C81" s="15" t="str">
        <f aca="false">'AVALIAÇÃO MAPA'!AS81</f>
        <v/>
      </c>
      <c r="D81" s="38" t="str">
        <f aca="false">'AVALIAÇÃO MAPA'!AN81</f>
        <v/>
      </c>
      <c r="E81" s="16"/>
      <c r="F81" s="16"/>
      <c r="G81" s="39"/>
      <c r="H81" s="24"/>
      <c r="I81" s="24"/>
      <c r="J81" s="16"/>
      <c r="K81" s="16"/>
      <c r="L81" s="16"/>
      <c r="M81" s="39"/>
      <c r="N81" s="16"/>
      <c r="O81" s="27" t="str">
        <f aca="false">'AVALIAÇÃO MAPA'!BB81</f>
        <v/>
      </c>
      <c r="P81" s="27" t="str">
        <f aca="false">'AVALIAÇÃO MAPA'!AZ81</f>
        <v/>
      </c>
      <c r="Q81" s="27" t="str">
        <f aca="false">'AVALIAÇÃO MAPA'!BA81</f>
        <v/>
      </c>
      <c r="R81" s="38" t="str">
        <f aca="false">IF('AVALIAÇÃO MAPA'!BC81="","",'AVALIAÇÃO MAPA'!BC81/12)</f>
        <v/>
      </c>
      <c r="S81" s="38" t="n">
        <f aca="false">IF(J81&lt;&gt;"",J81,Transicao_Padrao)</f>
        <v>2</v>
      </c>
      <c r="T81" s="27" t="str">
        <f aca="false">IF(O81="","",P81+IF(AND(OR(K81="Receita",K81="Contratação evitada",K81="Horas extras"),L81&lt;&gt;"",M81&lt;&gt;""),Q81,0))</f>
        <v/>
      </c>
      <c r="U81" s="40" t="str">
        <f aca="false">IF(AA81="","",IF(AA81&gt;Limite_Payback,"acima de "&amp;Limite_Payback&amp;" meses",AA81))</f>
        <v/>
      </c>
      <c r="V81" s="40" t="str">
        <f aca="false">IF(AB81="","",IF(AB81&gt;Limite_Payback,"acima de "&amp;Limite_Payback&amp;" meses",AB81))</f>
        <v/>
      </c>
      <c r="W81" s="18" t="str">
        <f aca="false">IF(T81="","",IF(T81&gt;P81,"Inclui efeito em caixa + capacidade com destino financeiro comprovável","Somente efeito em caixa"))</f>
        <v/>
      </c>
      <c r="X81" s="41" t="str">
        <f aca="false">IF(OR(O81="",E81="",E81="Fora"),"",MIN(12,S81)*((O81/12)/2-N(I81))+MAX(0,12-S81)*((O81/12)-N(I81))-N(H81))</f>
        <v/>
      </c>
      <c r="Y81" s="41" t="str">
        <f aca="false">IF(OR(O81="",E81="",E81="Fora"),"",MIN(24,S81)*((O81/12)/2-N(I81))+MAX(0,24-S81)*((O81/12)-N(I81))-N(H81))</f>
        <v/>
      </c>
      <c r="Z81" s="42" t="str">
        <f aca="false">IF(OR(E81="",E81="Fora"),"",IF(AND(E81="Onda 1",'AVALIAÇÃO MAPA'!AP81="SIM"),"Processo com trava na Onda 1. ","")&amp;IF(AND(E81="Onda 1",'AVALIAÇÃO MAPA'!AR81="SIM",AC81&lt;&gt;"P"),"Rota P sem o degrau P na simulação. ","")&amp;IF(AND(AD81=1,SUMIFS($AD$6:$AD$105,$E$6:$E$105,E81)&gt;2),"Mais de 2 projetos de automação nesta onda. ","")&amp;IF(AND(C81="Projeto estratégico",OR(N81="Protótipo",N81="Paralelo"),COUNTIFS($C$6:$C$105,"Projeto estratégico",$N$6:$N$105,"Protótipo")+COUNTIFS($C$6:$C$105,"Projeto estratégico",$N$6:$N$105,"Paralelo")&gt;1),"Mais de 1 projeto estratégico em execução. ","")&amp;IF(AND(N(Q81)&gt;0,OR(K81="",K81="Sem destino")),"Defina o destino das horas liberadas. ",""))</f>
        <v/>
      </c>
      <c r="AA81" s="43" t="str">
        <f aca="false">IF(OR(O81="",H81=""),"",IF(H81=0,0,IF(AND(((O81/12)/2-N(I81))&gt;0,H81&lt;=S81*((O81/12)/2-N(I81))),H81/((O81/12)/2-N(I81)),IF(((O81/12)-N(I81))&lt;=0,999,S81+(H81-S81*((O81/12)/2-N(I81)))/((O81/12)-N(I81))))))</f>
        <v/>
      </c>
      <c r="AB81" s="43" t="str">
        <f aca="false">IF(OR(T81="",H81=""),"",IF(H81=0,0,IF(AND(((T81/12)/2-N(I81))&gt;0,H81&lt;=S81*((T81/12)/2-N(I81))),H81/((T81/12)/2-N(I81)),IF(((T81/12)-N(I81))&lt;=0,999,S81+(H81-S81*((T81/12)/2-N(I81)))/((T81/12)-N(I81))))))</f>
        <v/>
      </c>
      <c r="AC81" s="19" t="str">
        <f aca="false">'AVALIAÇÃO MAPA'!AW81</f>
        <v/>
      </c>
      <c r="AD81" s="19" t="n">
        <f aca="false">IF(OR(AC81="A",AC81="IA"),1,0)</f>
        <v>0</v>
      </c>
    </row>
    <row r="82" customFormat="false" ht="15" hidden="false" customHeight="false" outlineLevel="0" collapsed="false">
      <c r="A82" s="15" t="n">
        <v>77</v>
      </c>
      <c r="B82" s="18" t="str">
        <f aca="false">'AVALIAÇÃO MAPA'!B82</f>
        <v/>
      </c>
      <c r="C82" s="15" t="str">
        <f aca="false">'AVALIAÇÃO MAPA'!AS82</f>
        <v/>
      </c>
      <c r="D82" s="38" t="str">
        <f aca="false">'AVALIAÇÃO MAPA'!AN82</f>
        <v/>
      </c>
      <c r="E82" s="16"/>
      <c r="F82" s="16"/>
      <c r="G82" s="39"/>
      <c r="H82" s="24"/>
      <c r="I82" s="24"/>
      <c r="J82" s="16"/>
      <c r="K82" s="16"/>
      <c r="L82" s="16"/>
      <c r="M82" s="39"/>
      <c r="N82" s="16"/>
      <c r="O82" s="27" t="str">
        <f aca="false">'AVALIAÇÃO MAPA'!BB82</f>
        <v/>
      </c>
      <c r="P82" s="27" t="str">
        <f aca="false">'AVALIAÇÃO MAPA'!AZ82</f>
        <v/>
      </c>
      <c r="Q82" s="27" t="str">
        <f aca="false">'AVALIAÇÃO MAPA'!BA82</f>
        <v/>
      </c>
      <c r="R82" s="38" t="str">
        <f aca="false">IF('AVALIAÇÃO MAPA'!BC82="","",'AVALIAÇÃO MAPA'!BC82/12)</f>
        <v/>
      </c>
      <c r="S82" s="38" t="n">
        <f aca="false">IF(J82&lt;&gt;"",J82,Transicao_Padrao)</f>
        <v>2</v>
      </c>
      <c r="T82" s="27" t="str">
        <f aca="false">IF(O82="","",P82+IF(AND(OR(K82="Receita",K82="Contratação evitada",K82="Horas extras"),L82&lt;&gt;"",M82&lt;&gt;""),Q82,0))</f>
        <v/>
      </c>
      <c r="U82" s="40" t="str">
        <f aca="false">IF(AA82="","",IF(AA82&gt;Limite_Payback,"acima de "&amp;Limite_Payback&amp;" meses",AA82))</f>
        <v/>
      </c>
      <c r="V82" s="40" t="str">
        <f aca="false">IF(AB82="","",IF(AB82&gt;Limite_Payback,"acima de "&amp;Limite_Payback&amp;" meses",AB82))</f>
        <v/>
      </c>
      <c r="W82" s="18" t="str">
        <f aca="false">IF(T82="","",IF(T82&gt;P82,"Inclui efeito em caixa + capacidade com destino financeiro comprovável","Somente efeito em caixa"))</f>
        <v/>
      </c>
      <c r="X82" s="41" t="str">
        <f aca="false">IF(OR(O82="",E82="",E82="Fora"),"",MIN(12,S82)*((O82/12)/2-N(I82))+MAX(0,12-S82)*((O82/12)-N(I82))-N(H82))</f>
        <v/>
      </c>
      <c r="Y82" s="41" t="str">
        <f aca="false">IF(OR(O82="",E82="",E82="Fora"),"",MIN(24,S82)*((O82/12)/2-N(I82))+MAX(0,24-S82)*((O82/12)-N(I82))-N(H82))</f>
        <v/>
      </c>
      <c r="Z82" s="42" t="str">
        <f aca="false">IF(OR(E82="",E82="Fora"),"",IF(AND(E82="Onda 1",'AVALIAÇÃO MAPA'!AP82="SIM"),"Processo com trava na Onda 1. ","")&amp;IF(AND(E82="Onda 1",'AVALIAÇÃO MAPA'!AR82="SIM",AC82&lt;&gt;"P"),"Rota P sem o degrau P na simulação. ","")&amp;IF(AND(AD82=1,SUMIFS($AD$6:$AD$105,$E$6:$E$105,E82)&gt;2),"Mais de 2 projetos de automação nesta onda. ","")&amp;IF(AND(C82="Projeto estratégico",OR(N82="Protótipo",N82="Paralelo"),COUNTIFS($C$6:$C$105,"Projeto estratégico",$N$6:$N$105,"Protótipo")+COUNTIFS($C$6:$C$105,"Projeto estratégico",$N$6:$N$105,"Paralelo")&gt;1),"Mais de 1 projeto estratégico em execução. ","")&amp;IF(AND(N(Q82)&gt;0,OR(K82="",K82="Sem destino")),"Defina o destino das horas liberadas. ",""))</f>
        <v/>
      </c>
      <c r="AA82" s="43" t="str">
        <f aca="false">IF(OR(O82="",H82=""),"",IF(H82=0,0,IF(AND(((O82/12)/2-N(I82))&gt;0,H82&lt;=S82*((O82/12)/2-N(I82))),H82/((O82/12)/2-N(I82)),IF(((O82/12)-N(I82))&lt;=0,999,S82+(H82-S82*((O82/12)/2-N(I82)))/((O82/12)-N(I82))))))</f>
        <v/>
      </c>
      <c r="AB82" s="43" t="str">
        <f aca="false">IF(OR(T82="",H82=""),"",IF(H82=0,0,IF(AND(((T82/12)/2-N(I82))&gt;0,H82&lt;=S82*((T82/12)/2-N(I82))),H82/((T82/12)/2-N(I82)),IF(((T82/12)-N(I82))&lt;=0,999,S82+(H82-S82*((T82/12)/2-N(I82)))/((T82/12)-N(I82))))))</f>
        <v/>
      </c>
      <c r="AC82" s="19" t="str">
        <f aca="false">'AVALIAÇÃO MAPA'!AW82</f>
        <v/>
      </c>
      <c r="AD82" s="19" t="n">
        <f aca="false">IF(OR(AC82="A",AC82="IA"),1,0)</f>
        <v>0</v>
      </c>
    </row>
    <row r="83" customFormat="false" ht="15" hidden="false" customHeight="false" outlineLevel="0" collapsed="false">
      <c r="A83" s="15" t="n">
        <v>78</v>
      </c>
      <c r="B83" s="18" t="str">
        <f aca="false">'AVALIAÇÃO MAPA'!B83</f>
        <v/>
      </c>
      <c r="C83" s="15" t="str">
        <f aca="false">'AVALIAÇÃO MAPA'!AS83</f>
        <v/>
      </c>
      <c r="D83" s="38" t="str">
        <f aca="false">'AVALIAÇÃO MAPA'!AN83</f>
        <v/>
      </c>
      <c r="E83" s="16"/>
      <c r="F83" s="16"/>
      <c r="G83" s="39"/>
      <c r="H83" s="24"/>
      <c r="I83" s="24"/>
      <c r="J83" s="16"/>
      <c r="K83" s="16"/>
      <c r="L83" s="16"/>
      <c r="M83" s="39"/>
      <c r="N83" s="16"/>
      <c r="O83" s="27" t="str">
        <f aca="false">'AVALIAÇÃO MAPA'!BB83</f>
        <v/>
      </c>
      <c r="P83" s="27" t="str">
        <f aca="false">'AVALIAÇÃO MAPA'!AZ83</f>
        <v/>
      </c>
      <c r="Q83" s="27" t="str">
        <f aca="false">'AVALIAÇÃO MAPA'!BA83</f>
        <v/>
      </c>
      <c r="R83" s="38" t="str">
        <f aca="false">IF('AVALIAÇÃO MAPA'!BC83="","",'AVALIAÇÃO MAPA'!BC83/12)</f>
        <v/>
      </c>
      <c r="S83" s="38" t="n">
        <f aca="false">IF(J83&lt;&gt;"",J83,Transicao_Padrao)</f>
        <v>2</v>
      </c>
      <c r="T83" s="27" t="str">
        <f aca="false">IF(O83="","",P83+IF(AND(OR(K83="Receita",K83="Contratação evitada",K83="Horas extras"),L83&lt;&gt;"",M83&lt;&gt;""),Q83,0))</f>
        <v/>
      </c>
      <c r="U83" s="40" t="str">
        <f aca="false">IF(AA83="","",IF(AA83&gt;Limite_Payback,"acima de "&amp;Limite_Payback&amp;" meses",AA83))</f>
        <v/>
      </c>
      <c r="V83" s="40" t="str">
        <f aca="false">IF(AB83="","",IF(AB83&gt;Limite_Payback,"acima de "&amp;Limite_Payback&amp;" meses",AB83))</f>
        <v/>
      </c>
      <c r="W83" s="18" t="str">
        <f aca="false">IF(T83="","",IF(T83&gt;P83,"Inclui efeito em caixa + capacidade com destino financeiro comprovável","Somente efeito em caixa"))</f>
        <v/>
      </c>
      <c r="X83" s="41" t="str">
        <f aca="false">IF(OR(O83="",E83="",E83="Fora"),"",MIN(12,S83)*((O83/12)/2-N(I83))+MAX(0,12-S83)*((O83/12)-N(I83))-N(H83))</f>
        <v/>
      </c>
      <c r="Y83" s="41" t="str">
        <f aca="false">IF(OR(O83="",E83="",E83="Fora"),"",MIN(24,S83)*((O83/12)/2-N(I83))+MAX(0,24-S83)*((O83/12)-N(I83))-N(H83))</f>
        <v/>
      </c>
      <c r="Z83" s="42" t="str">
        <f aca="false">IF(OR(E83="",E83="Fora"),"",IF(AND(E83="Onda 1",'AVALIAÇÃO MAPA'!AP83="SIM"),"Processo com trava na Onda 1. ","")&amp;IF(AND(E83="Onda 1",'AVALIAÇÃO MAPA'!AR83="SIM",AC83&lt;&gt;"P"),"Rota P sem o degrau P na simulação. ","")&amp;IF(AND(AD83=1,SUMIFS($AD$6:$AD$105,$E$6:$E$105,E83)&gt;2),"Mais de 2 projetos de automação nesta onda. ","")&amp;IF(AND(C83="Projeto estratégico",OR(N83="Protótipo",N83="Paralelo"),COUNTIFS($C$6:$C$105,"Projeto estratégico",$N$6:$N$105,"Protótipo")+COUNTIFS($C$6:$C$105,"Projeto estratégico",$N$6:$N$105,"Paralelo")&gt;1),"Mais de 1 projeto estratégico em execução. ","")&amp;IF(AND(N(Q83)&gt;0,OR(K83="",K83="Sem destino")),"Defina o destino das horas liberadas. ",""))</f>
        <v/>
      </c>
      <c r="AA83" s="43" t="str">
        <f aca="false">IF(OR(O83="",H83=""),"",IF(H83=0,0,IF(AND(((O83/12)/2-N(I83))&gt;0,H83&lt;=S83*((O83/12)/2-N(I83))),H83/((O83/12)/2-N(I83)),IF(((O83/12)-N(I83))&lt;=0,999,S83+(H83-S83*((O83/12)/2-N(I83)))/((O83/12)-N(I83))))))</f>
        <v/>
      </c>
      <c r="AB83" s="43" t="str">
        <f aca="false">IF(OR(T83="",H83=""),"",IF(H83=0,0,IF(AND(((T83/12)/2-N(I83))&gt;0,H83&lt;=S83*((T83/12)/2-N(I83))),H83/((T83/12)/2-N(I83)),IF(((T83/12)-N(I83))&lt;=0,999,S83+(H83-S83*((T83/12)/2-N(I83)))/((T83/12)-N(I83))))))</f>
        <v/>
      </c>
      <c r="AC83" s="19" t="str">
        <f aca="false">'AVALIAÇÃO MAPA'!AW83</f>
        <v/>
      </c>
      <c r="AD83" s="19" t="n">
        <f aca="false">IF(OR(AC83="A",AC83="IA"),1,0)</f>
        <v>0</v>
      </c>
    </row>
    <row r="84" customFormat="false" ht="15" hidden="false" customHeight="false" outlineLevel="0" collapsed="false">
      <c r="A84" s="15" t="n">
        <v>79</v>
      </c>
      <c r="B84" s="18" t="str">
        <f aca="false">'AVALIAÇÃO MAPA'!B84</f>
        <v/>
      </c>
      <c r="C84" s="15" t="str">
        <f aca="false">'AVALIAÇÃO MAPA'!AS84</f>
        <v/>
      </c>
      <c r="D84" s="38" t="str">
        <f aca="false">'AVALIAÇÃO MAPA'!AN84</f>
        <v/>
      </c>
      <c r="E84" s="16"/>
      <c r="F84" s="16"/>
      <c r="G84" s="39"/>
      <c r="H84" s="24"/>
      <c r="I84" s="24"/>
      <c r="J84" s="16"/>
      <c r="K84" s="16"/>
      <c r="L84" s="16"/>
      <c r="M84" s="39"/>
      <c r="N84" s="16"/>
      <c r="O84" s="27" t="str">
        <f aca="false">'AVALIAÇÃO MAPA'!BB84</f>
        <v/>
      </c>
      <c r="P84" s="27" t="str">
        <f aca="false">'AVALIAÇÃO MAPA'!AZ84</f>
        <v/>
      </c>
      <c r="Q84" s="27" t="str">
        <f aca="false">'AVALIAÇÃO MAPA'!BA84</f>
        <v/>
      </c>
      <c r="R84" s="38" t="str">
        <f aca="false">IF('AVALIAÇÃO MAPA'!BC84="","",'AVALIAÇÃO MAPA'!BC84/12)</f>
        <v/>
      </c>
      <c r="S84" s="38" t="n">
        <f aca="false">IF(J84&lt;&gt;"",J84,Transicao_Padrao)</f>
        <v>2</v>
      </c>
      <c r="T84" s="27" t="str">
        <f aca="false">IF(O84="","",P84+IF(AND(OR(K84="Receita",K84="Contratação evitada",K84="Horas extras"),L84&lt;&gt;"",M84&lt;&gt;""),Q84,0))</f>
        <v/>
      </c>
      <c r="U84" s="40" t="str">
        <f aca="false">IF(AA84="","",IF(AA84&gt;Limite_Payback,"acima de "&amp;Limite_Payback&amp;" meses",AA84))</f>
        <v/>
      </c>
      <c r="V84" s="40" t="str">
        <f aca="false">IF(AB84="","",IF(AB84&gt;Limite_Payback,"acima de "&amp;Limite_Payback&amp;" meses",AB84))</f>
        <v/>
      </c>
      <c r="W84" s="18" t="str">
        <f aca="false">IF(T84="","",IF(T84&gt;P84,"Inclui efeito em caixa + capacidade com destino financeiro comprovável","Somente efeito em caixa"))</f>
        <v/>
      </c>
      <c r="X84" s="41" t="str">
        <f aca="false">IF(OR(O84="",E84="",E84="Fora"),"",MIN(12,S84)*((O84/12)/2-N(I84))+MAX(0,12-S84)*((O84/12)-N(I84))-N(H84))</f>
        <v/>
      </c>
      <c r="Y84" s="41" t="str">
        <f aca="false">IF(OR(O84="",E84="",E84="Fora"),"",MIN(24,S84)*((O84/12)/2-N(I84))+MAX(0,24-S84)*((O84/12)-N(I84))-N(H84))</f>
        <v/>
      </c>
      <c r="Z84" s="42" t="str">
        <f aca="false">IF(OR(E84="",E84="Fora"),"",IF(AND(E84="Onda 1",'AVALIAÇÃO MAPA'!AP84="SIM"),"Processo com trava na Onda 1. ","")&amp;IF(AND(E84="Onda 1",'AVALIAÇÃO MAPA'!AR84="SIM",AC84&lt;&gt;"P"),"Rota P sem o degrau P na simulação. ","")&amp;IF(AND(AD84=1,SUMIFS($AD$6:$AD$105,$E$6:$E$105,E84)&gt;2),"Mais de 2 projetos de automação nesta onda. ","")&amp;IF(AND(C84="Projeto estratégico",OR(N84="Protótipo",N84="Paralelo"),COUNTIFS($C$6:$C$105,"Projeto estratégico",$N$6:$N$105,"Protótipo")+COUNTIFS($C$6:$C$105,"Projeto estratégico",$N$6:$N$105,"Paralelo")&gt;1),"Mais de 1 projeto estratégico em execução. ","")&amp;IF(AND(N(Q84)&gt;0,OR(K84="",K84="Sem destino")),"Defina o destino das horas liberadas. ",""))</f>
        <v/>
      </c>
      <c r="AA84" s="43" t="str">
        <f aca="false">IF(OR(O84="",H84=""),"",IF(H84=0,0,IF(AND(((O84/12)/2-N(I84))&gt;0,H84&lt;=S84*((O84/12)/2-N(I84))),H84/((O84/12)/2-N(I84)),IF(((O84/12)-N(I84))&lt;=0,999,S84+(H84-S84*((O84/12)/2-N(I84)))/((O84/12)-N(I84))))))</f>
        <v/>
      </c>
      <c r="AB84" s="43" t="str">
        <f aca="false">IF(OR(T84="",H84=""),"",IF(H84=0,0,IF(AND(((T84/12)/2-N(I84))&gt;0,H84&lt;=S84*((T84/12)/2-N(I84))),H84/((T84/12)/2-N(I84)),IF(((T84/12)-N(I84))&lt;=0,999,S84+(H84-S84*((T84/12)/2-N(I84)))/((T84/12)-N(I84))))))</f>
        <v/>
      </c>
      <c r="AC84" s="19" t="str">
        <f aca="false">'AVALIAÇÃO MAPA'!AW84</f>
        <v/>
      </c>
      <c r="AD84" s="19" t="n">
        <f aca="false">IF(OR(AC84="A",AC84="IA"),1,0)</f>
        <v>0</v>
      </c>
    </row>
    <row r="85" customFormat="false" ht="15" hidden="false" customHeight="false" outlineLevel="0" collapsed="false">
      <c r="A85" s="15" t="n">
        <v>80</v>
      </c>
      <c r="B85" s="18" t="str">
        <f aca="false">'AVALIAÇÃO MAPA'!B85</f>
        <v/>
      </c>
      <c r="C85" s="15" t="str">
        <f aca="false">'AVALIAÇÃO MAPA'!AS85</f>
        <v/>
      </c>
      <c r="D85" s="38" t="str">
        <f aca="false">'AVALIAÇÃO MAPA'!AN85</f>
        <v/>
      </c>
      <c r="E85" s="16"/>
      <c r="F85" s="16"/>
      <c r="G85" s="39"/>
      <c r="H85" s="24"/>
      <c r="I85" s="24"/>
      <c r="J85" s="16"/>
      <c r="K85" s="16"/>
      <c r="L85" s="16"/>
      <c r="M85" s="39"/>
      <c r="N85" s="16"/>
      <c r="O85" s="27" t="str">
        <f aca="false">'AVALIAÇÃO MAPA'!BB85</f>
        <v/>
      </c>
      <c r="P85" s="27" t="str">
        <f aca="false">'AVALIAÇÃO MAPA'!AZ85</f>
        <v/>
      </c>
      <c r="Q85" s="27" t="str">
        <f aca="false">'AVALIAÇÃO MAPA'!BA85</f>
        <v/>
      </c>
      <c r="R85" s="38" t="str">
        <f aca="false">IF('AVALIAÇÃO MAPA'!BC85="","",'AVALIAÇÃO MAPA'!BC85/12)</f>
        <v/>
      </c>
      <c r="S85" s="38" t="n">
        <f aca="false">IF(J85&lt;&gt;"",J85,Transicao_Padrao)</f>
        <v>2</v>
      </c>
      <c r="T85" s="27" t="str">
        <f aca="false">IF(O85="","",P85+IF(AND(OR(K85="Receita",K85="Contratação evitada",K85="Horas extras"),L85&lt;&gt;"",M85&lt;&gt;""),Q85,0))</f>
        <v/>
      </c>
      <c r="U85" s="40" t="str">
        <f aca="false">IF(AA85="","",IF(AA85&gt;Limite_Payback,"acima de "&amp;Limite_Payback&amp;" meses",AA85))</f>
        <v/>
      </c>
      <c r="V85" s="40" t="str">
        <f aca="false">IF(AB85="","",IF(AB85&gt;Limite_Payback,"acima de "&amp;Limite_Payback&amp;" meses",AB85))</f>
        <v/>
      </c>
      <c r="W85" s="18" t="str">
        <f aca="false">IF(T85="","",IF(T85&gt;P85,"Inclui efeito em caixa + capacidade com destino financeiro comprovável","Somente efeito em caixa"))</f>
        <v/>
      </c>
      <c r="X85" s="41" t="str">
        <f aca="false">IF(OR(O85="",E85="",E85="Fora"),"",MIN(12,S85)*((O85/12)/2-N(I85))+MAX(0,12-S85)*((O85/12)-N(I85))-N(H85))</f>
        <v/>
      </c>
      <c r="Y85" s="41" t="str">
        <f aca="false">IF(OR(O85="",E85="",E85="Fora"),"",MIN(24,S85)*((O85/12)/2-N(I85))+MAX(0,24-S85)*((O85/12)-N(I85))-N(H85))</f>
        <v/>
      </c>
      <c r="Z85" s="42" t="str">
        <f aca="false">IF(OR(E85="",E85="Fora"),"",IF(AND(E85="Onda 1",'AVALIAÇÃO MAPA'!AP85="SIM"),"Processo com trava na Onda 1. ","")&amp;IF(AND(E85="Onda 1",'AVALIAÇÃO MAPA'!AR85="SIM",AC85&lt;&gt;"P"),"Rota P sem o degrau P na simulação. ","")&amp;IF(AND(AD85=1,SUMIFS($AD$6:$AD$105,$E$6:$E$105,E85)&gt;2),"Mais de 2 projetos de automação nesta onda. ","")&amp;IF(AND(C85="Projeto estratégico",OR(N85="Protótipo",N85="Paralelo"),COUNTIFS($C$6:$C$105,"Projeto estratégico",$N$6:$N$105,"Protótipo")+COUNTIFS($C$6:$C$105,"Projeto estratégico",$N$6:$N$105,"Paralelo")&gt;1),"Mais de 1 projeto estratégico em execução. ","")&amp;IF(AND(N(Q85)&gt;0,OR(K85="",K85="Sem destino")),"Defina o destino das horas liberadas. ",""))</f>
        <v/>
      </c>
      <c r="AA85" s="43" t="str">
        <f aca="false">IF(OR(O85="",H85=""),"",IF(H85=0,0,IF(AND(((O85/12)/2-N(I85))&gt;0,H85&lt;=S85*((O85/12)/2-N(I85))),H85/((O85/12)/2-N(I85)),IF(((O85/12)-N(I85))&lt;=0,999,S85+(H85-S85*((O85/12)/2-N(I85)))/((O85/12)-N(I85))))))</f>
        <v/>
      </c>
      <c r="AB85" s="43" t="str">
        <f aca="false">IF(OR(T85="",H85=""),"",IF(H85=0,0,IF(AND(((T85/12)/2-N(I85))&gt;0,H85&lt;=S85*((T85/12)/2-N(I85))),H85/((T85/12)/2-N(I85)),IF(((T85/12)-N(I85))&lt;=0,999,S85+(H85-S85*((T85/12)/2-N(I85)))/((T85/12)-N(I85))))))</f>
        <v/>
      </c>
      <c r="AC85" s="19" t="str">
        <f aca="false">'AVALIAÇÃO MAPA'!AW85</f>
        <v/>
      </c>
      <c r="AD85" s="19" t="n">
        <f aca="false">IF(OR(AC85="A",AC85="IA"),1,0)</f>
        <v>0</v>
      </c>
    </row>
    <row r="86" customFormat="false" ht="15" hidden="false" customHeight="false" outlineLevel="0" collapsed="false">
      <c r="A86" s="15" t="n">
        <v>81</v>
      </c>
      <c r="B86" s="18" t="str">
        <f aca="false">'AVALIAÇÃO MAPA'!B86</f>
        <v/>
      </c>
      <c r="C86" s="15" t="str">
        <f aca="false">'AVALIAÇÃO MAPA'!AS86</f>
        <v/>
      </c>
      <c r="D86" s="38" t="str">
        <f aca="false">'AVALIAÇÃO MAPA'!AN86</f>
        <v/>
      </c>
      <c r="E86" s="16"/>
      <c r="F86" s="16"/>
      <c r="G86" s="39"/>
      <c r="H86" s="24"/>
      <c r="I86" s="24"/>
      <c r="J86" s="16"/>
      <c r="K86" s="16"/>
      <c r="L86" s="16"/>
      <c r="M86" s="39"/>
      <c r="N86" s="16"/>
      <c r="O86" s="27" t="str">
        <f aca="false">'AVALIAÇÃO MAPA'!BB86</f>
        <v/>
      </c>
      <c r="P86" s="27" t="str">
        <f aca="false">'AVALIAÇÃO MAPA'!AZ86</f>
        <v/>
      </c>
      <c r="Q86" s="27" t="str">
        <f aca="false">'AVALIAÇÃO MAPA'!BA86</f>
        <v/>
      </c>
      <c r="R86" s="38" t="str">
        <f aca="false">IF('AVALIAÇÃO MAPA'!BC86="","",'AVALIAÇÃO MAPA'!BC86/12)</f>
        <v/>
      </c>
      <c r="S86" s="38" t="n">
        <f aca="false">IF(J86&lt;&gt;"",J86,Transicao_Padrao)</f>
        <v>2</v>
      </c>
      <c r="T86" s="27" t="str">
        <f aca="false">IF(O86="","",P86+IF(AND(OR(K86="Receita",K86="Contratação evitada",K86="Horas extras"),L86&lt;&gt;"",M86&lt;&gt;""),Q86,0))</f>
        <v/>
      </c>
      <c r="U86" s="40" t="str">
        <f aca="false">IF(AA86="","",IF(AA86&gt;Limite_Payback,"acima de "&amp;Limite_Payback&amp;" meses",AA86))</f>
        <v/>
      </c>
      <c r="V86" s="40" t="str">
        <f aca="false">IF(AB86="","",IF(AB86&gt;Limite_Payback,"acima de "&amp;Limite_Payback&amp;" meses",AB86))</f>
        <v/>
      </c>
      <c r="W86" s="18" t="str">
        <f aca="false">IF(T86="","",IF(T86&gt;P86,"Inclui efeito em caixa + capacidade com destino financeiro comprovável","Somente efeito em caixa"))</f>
        <v/>
      </c>
      <c r="X86" s="41" t="str">
        <f aca="false">IF(OR(O86="",E86="",E86="Fora"),"",MIN(12,S86)*((O86/12)/2-N(I86))+MAX(0,12-S86)*((O86/12)-N(I86))-N(H86))</f>
        <v/>
      </c>
      <c r="Y86" s="41" t="str">
        <f aca="false">IF(OR(O86="",E86="",E86="Fora"),"",MIN(24,S86)*((O86/12)/2-N(I86))+MAX(0,24-S86)*((O86/12)-N(I86))-N(H86))</f>
        <v/>
      </c>
      <c r="Z86" s="42" t="str">
        <f aca="false">IF(OR(E86="",E86="Fora"),"",IF(AND(E86="Onda 1",'AVALIAÇÃO MAPA'!AP86="SIM"),"Processo com trava na Onda 1. ","")&amp;IF(AND(E86="Onda 1",'AVALIAÇÃO MAPA'!AR86="SIM",AC86&lt;&gt;"P"),"Rota P sem o degrau P na simulação. ","")&amp;IF(AND(AD86=1,SUMIFS($AD$6:$AD$105,$E$6:$E$105,E86)&gt;2),"Mais de 2 projetos de automação nesta onda. ","")&amp;IF(AND(C86="Projeto estratégico",OR(N86="Protótipo",N86="Paralelo"),COUNTIFS($C$6:$C$105,"Projeto estratégico",$N$6:$N$105,"Protótipo")+COUNTIFS($C$6:$C$105,"Projeto estratégico",$N$6:$N$105,"Paralelo")&gt;1),"Mais de 1 projeto estratégico em execução. ","")&amp;IF(AND(N(Q86)&gt;0,OR(K86="",K86="Sem destino")),"Defina o destino das horas liberadas. ",""))</f>
        <v/>
      </c>
      <c r="AA86" s="43" t="str">
        <f aca="false">IF(OR(O86="",H86=""),"",IF(H86=0,0,IF(AND(((O86/12)/2-N(I86))&gt;0,H86&lt;=S86*((O86/12)/2-N(I86))),H86/((O86/12)/2-N(I86)),IF(((O86/12)-N(I86))&lt;=0,999,S86+(H86-S86*((O86/12)/2-N(I86)))/((O86/12)-N(I86))))))</f>
        <v/>
      </c>
      <c r="AB86" s="43" t="str">
        <f aca="false">IF(OR(T86="",H86=""),"",IF(H86=0,0,IF(AND(((T86/12)/2-N(I86))&gt;0,H86&lt;=S86*((T86/12)/2-N(I86))),H86/((T86/12)/2-N(I86)),IF(((T86/12)-N(I86))&lt;=0,999,S86+(H86-S86*((T86/12)/2-N(I86)))/((T86/12)-N(I86))))))</f>
        <v/>
      </c>
      <c r="AC86" s="19" t="str">
        <f aca="false">'AVALIAÇÃO MAPA'!AW86</f>
        <v/>
      </c>
      <c r="AD86" s="19" t="n">
        <f aca="false">IF(OR(AC86="A",AC86="IA"),1,0)</f>
        <v>0</v>
      </c>
    </row>
    <row r="87" customFormat="false" ht="15" hidden="false" customHeight="false" outlineLevel="0" collapsed="false">
      <c r="A87" s="15" t="n">
        <v>82</v>
      </c>
      <c r="B87" s="18" t="str">
        <f aca="false">'AVALIAÇÃO MAPA'!B87</f>
        <v/>
      </c>
      <c r="C87" s="15" t="str">
        <f aca="false">'AVALIAÇÃO MAPA'!AS87</f>
        <v/>
      </c>
      <c r="D87" s="38" t="str">
        <f aca="false">'AVALIAÇÃO MAPA'!AN87</f>
        <v/>
      </c>
      <c r="E87" s="16"/>
      <c r="F87" s="16"/>
      <c r="G87" s="39"/>
      <c r="H87" s="24"/>
      <c r="I87" s="24"/>
      <c r="J87" s="16"/>
      <c r="K87" s="16"/>
      <c r="L87" s="16"/>
      <c r="M87" s="39"/>
      <c r="N87" s="16"/>
      <c r="O87" s="27" t="str">
        <f aca="false">'AVALIAÇÃO MAPA'!BB87</f>
        <v/>
      </c>
      <c r="P87" s="27" t="str">
        <f aca="false">'AVALIAÇÃO MAPA'!AZ87</f>
        <v/>
      </c>
      <c r="Q87" s="27" t="str">
        <f aca="false">'AVALIAÇÃO MAPA'!BA87</f>
        <v/>
      </c>
      <c r="R87" s="38" t="str">
        <f aca="false">IF('AVALIAÇÃO MAPA'!BC87="","",'AVALIAÇÃO MAPA'!BC87/12)</f>
        <v/>
      </c>
      <c r="S87" s="38" t="n">
        <f aca="false">IF(J87&lt;&gt;"",J87,Transicao_Padrao)</f>
        <v>2</v>
      </c>
      <c r="T87" s="27" t="str">
        <f aca="false">IF(O87="","",P87+IF(AND(OR(K87="Receita",K87="Contratação evitada",K87="Horas extras"),L87&lt;&gt;"",M87&lt;&gt;""),Q87,0))</f>
        <v/>
      </c>
      <c r="U87" s="40" t="str">
        <f aca="false">IF(AA87="","",IF(AA87&gt;Limite_Payback,"acima de "&amp;Limite_Payback&amp;" meses",AA87))</f>
        <v/>
      </c>
      <c r="V87" s="40" t="str">
        <f aca="false">IF(AB87="","",IF(AB87&gt;Limite_Payback,"acima de "&amp;Limite_Payback&amp;" meses",AB87))</f>
        <v/>
      </c>
      <c r="W87" s="18" t="str">
        <f aca="false">IF(T87="","",IF(T87&gt;P87,"Inclui efeito em caixa + capacidade com destino financeiro comprovável","Somente efeito em caixa"))</f>
        <v/>
      </c>
      <c r="X87" s="41" t="str">
        <f aca="false">IF(OR(O87="",E87="",E87="Fora"),"",MIN(12,S87)*((O87/12)/2-N(I87))+MAX(0,12-S87)*((O87/12)-N(I87))-N(H87))</f>
        <v/>
      </c>
      <c r="Y87" s="41" t="str">
        <f aca="false">IF(OR(O87="",E87="",E87="Fora"),"",MIN(24,S87)*((O87/12)/2-N(I87))+MAX(0,24-S87)*((O87/12)-N(I87))-N(H87))</f>
        <v/>
      </c>
      <c r="Z87" s="42" t="str">
        <f aca="false">IF(OR(E87="",E87="Fora"),"",IF(AND(E87="Onda 1",'AVALIAÇÃO MAPA'!AP87="SIM"),"Processo com trava na Onda 1. ","")&amp;IF(AND(E87="Onda 1",'AVALIAÇÃO MAPA'!AR87="SIM",AC87&lt;&gt;"P"),"Rota P sem o degrau P na simulação. ","")&amp;IF(AND(AD87=1,SUMIFS($AD$6:$AD$105,$E$6:$E$105,E87)&gt;2),"Mais de 2 projetos de automação nesta onda. ","")&amp;IF(AND(C87="Projeto estratégico",OR(N87="Protótipo",N87="Paralelo"),COUNTIFS($C$6:$C$105,"Projeto estratégico",$N$6:$N$105,"Protótipo")+COUNTIFS($C$6:$C$105,"Projeto estratégico",$N$6:$N$105,"Paralelo")&gt;1),"Mais de 1 projeto estratégico em execução. ","")&amp;IF(AND(N(Q87)&gt;0,OR(K87="",K87="Sem destino")),"Defina o destino das horas liberadas. ",""))</f>
        <v/>
      </c>
      <c r="AA87" s="43" t="str">
        <f aca="false">IF(OR(O87="",H87=""),"",IF(H87=0,0,IF(AND(((O87/12)/2-N(I87))&gt;0,H87&lt;=S87*((O87/12)/2-N(I87))),H87/((O87/12)/2-N(I87)),IF(((O87/12)-N(I87))&lt;=0,999,S87+(H87-S87*((O87/12)/2-N(I87)))/((O87/12)-N(I87))))))</f>
        <v/>
      </c>
      <c r="AB87" s="43" t="str">
        <f aca="false">IF(OR(T87="",H87=""),"",IF(H87=0,0,IF(AND(((T87/12)/2-N(I87))&gt;0,H87&lt;=S87*((T87/12)/2-N(I87))),H87/((T87/12)/2-N(I87)),IF(((T87/12)-N(I87))&lt;=0,999,S87+(H87-S87*((T87/12)/2-N(I87)))/((T87/12)-N(I87))))))</f>
        <v/>
      </c>
      <c r="AC87" s="19" t="str">
        <f aca="false">'AVALIAÇÃO MAPA'!AW87</f>
        <v/>
      </c>
      <c r="AD87" s="19" t="n">
        <f aca="false">IF(OR(AC87="A",AC87="IA"),1,0)</f>
        <v>0</v>
      </c>
    </row>
    <row r="88" customFormat="false" ht="15" hidden="false" customHeight="false" outlineLevel="0" collapsed="false">
      <c r="A88" s="15" t="n">
        <v>83</v>
      </c>
      <c r="B88" s="18" t="str">
        <f aca="false">'AVALIAÇÃO MAPA'!B88</f>
        <v/>
      </c>
      <c r="C88" s="15" t="str">
        <f aca="false">'AVALIAÇÃO MAPA'!AS88</f>
        <v/>
      </c>
      <c r="D88" s="38" t="str">
        <f aca="false">'AVALIAÇÃO MAPA'!AN88</f>
        <v/>
      </c>
      <c r="E88" s="16"/>
      <c r="F88" s="16"/>
      <c r="G88" s="39"/>
      <c r="H88" s="24"/>
      <c r="I88" s="24"/>
      <c r="J88" s="16"/>
      <c r="K88" s="16"/>
      <c r="L88" s="16"/>
      <c r="M88" s="39"/>
      <c r="N88" s="16"/>
      <c r="O88" s="27" t="str">
        <f aca="false">'AVALIAÇÃO MAPA'!BB88</f>
        <v/>
      </c>
      <c r="P88" s="27" t="str">
        <f aca="false">'AVALIAÇÃO MAPA'!AZ88</f>
        <v/>
      </c>
      <c r="Q88" s="27" t="str">
        <f aca="false">'AVALIAÇÃO MAPA'!BA88</f>
        <v/>
      </c>
      <c r="R88" s="38" t="str">
        <f aca="false">IF('AVALIAÇÃO MAPA'!BC88="","",'AVALIAÇÃO MAPA'!BC88/12)</f>
        <v/>
      </c>
      <c r="S88" s="38" t="n">
        <f aca="false">IF(J88&lt;&gt;"",J88,Transicao_Padrao)</f>
        <v>2</v>
      </c>
      <c r="T88" s="27" t="str">
        <f aca="false">IF(O88="","",P88+IF(AND(OR(K88="Receita",K88="Contratação evitada",K88="Horas extras"),L88&lt;&gt;"",M88&lt;&gt;""),Q88,0))</f>
        <v/>
      </c>
      <c r="U88" s="40" t="str">
        <f aca="false">IF(AA88="","",IF(AA88&gt;Limite_Payback,"acima de "&amp;Limite_Payback&amp;" meses",AA88))</f>
        <v/>
      </c>
      <c r="V88" s="40" t="str">
        <f aca="false">IF(AB88="","",IF(AB88&gt;Limite_Payback,"acima de "&amp;Limite_Payback&amp;" meses",AB88))</f>
        <v/>
      </c>
      <c r="W88" s="18" t="str">
        <f aca="false">IF(T88="","",IF(T88&gt;P88,"Inclui efeito em caixa + capacidade com destino financeiro comprovável","Somente efeito em caixa"))</f>
        <v/>
      </c>
      <c r="X88" s="41" t="str">
        <f aca="false">IF(OR(O88="",E88="",E88="Fora"),"",MIN(12,S88)*((O88/12)/2-N(I88))+MAX(0,12-S88)*((O88/12)-N(I88))-N(H88))</f>
        <v/>
      </c>
      <c r="Y88" s="41" t="str">
        <f aca="false">IF(OR(O88="",E88="",E88="Fora"),"",MIN(24,S88)*((O88/12)/2-N(I88))+MAX(0,24-S88)*((O88/12)-N(I88))-N(H88))</f>
        <v/>
      </c>
      <c r="Z88" s="42" t="str">
        <f aca="false">IF(OR(E88="",E88="Fora"),"",IF(AND(E88="Onda 1",'AVALIAÇÃO MAPA'!AP88="SIM"),"Processo com trava na Onda 1. ","")&amp;IF(AND(E88="Onda 1",'AVALIAÇÃO MAPA'!AR88="SIM",AC88&lt;&gt;"P"),"Rota P sem o degrau P na simulação. ","")&amp;IF(AND(AD88=1,SUMIFS($AD$6:$AD$105,$E$6:$E$105,E88)&gt;2),"Mais de 2 projetos de automação nesta onda. ","")&amp;IF(AND(C88="Projeto estratégico",OR(N88="Protótipo",N88="Paralelo"),COUNTIFS($C$6:$C$105,"Projeto estratégico",$N$6:$N$105,"Protótipo")+COUNTIFS($C$6:$C$105,"Projeto estratégico",$N$6:$N$105,"Paralelo")&gt;1),"Mais de 1 projeto estratégico em execução. ","")&amp;IF(AND(N(Q88)&gt;0,OR(K88="",K88="Sem destino")),"Defina o destino das horas liberadas. ",""))</f>
        <v/>
      </c>
      <c r="AA88" s="43" t="str">
        <f aca="false">IF(OR(O88="",H88=""),"",IF(H88=0,0,IF(AND(((O88/12)/2-N(I88))&gt;0,H88&lt;=S88*((O88/12)/2-N(I88))),H88/((O88/12)/2-N(I88)),IF(((O88/12)-N(I88))&lt;=0,999,S88+(H88-S88*((O88/12)/2-N(I88)))/((O88/12)-N(I88))))))</f>
        <v/>
      </c>
      <c r="AB88" s="43" t="str">
        <f aca="false">IF(OR(T88="",H88=""),"",IF(H88=0,0,IF(AND(((T88/12)/2-N(I88))&gt;0,H88&lt;=S88*((T88/12)/2-N(I88))),H88/((T88/12)/2-N(I88)),IF(((T88/12)-N(I88))&lt;=0,999,S88+(H88-S88*((T88/12)/2-N(I88)))/((T88/12)-N(I88))))))</f>
        <v/>
      </c>
      <c r="AC88" s="19" t="str">
        <f aca="false">'AVALIAÇÃO MAPA'!AW88</f>
        <v/>
      </c>
      <c r="AD88" s="19" t="n">
        <f aca="false">IF(OR(AC88="A",AC88="IA"),1,0)</f>
        <v>0</v>
      </c>
    </row>
    <row r="89" customFormat="false" ht="15" hidden="false" customHeight="false" outlineLevel="0" collapsed="false">
      <c r="A89" s="15" t="n">
        <v>84</v>
      </c>
      <c r="B89" s="18" t="str">
        <f aca="false">'AVALIAÇÃO MAPA'!B89</f>
        <v/>
      </c>
      <c r="C89" s="15" t="str">
        <f aca="false">'AVALIAÇÃO MAPA'!AS89</f>
        <v/>
      </c>
      <c r="D89" s="38" t="str">
        <f aca="false">'AVALIAÇÃO MAPA'!AN89</f>
        <v/>
      </c>
      <c r="E89" s="16"/>
      <c r="F89" s="16"/>
      <c r="G89" s="39"/>
      <c r="H89" s="24"/>
      <c r="I89" s="24"/>
      <c r="J89" s="16"/>
      <c r="K89" s="16"/>
      <c r="L89" s="16"/>
      <c r="M89" s="39"/>
      <c r="N89" s="16"/>
      <c r="O89" s="27" t="str">
        <f aca="false">'AVALIAÇÃO MAPA'!BB89</f>
        <v/>
      </c>
      <c r="P89" s="27" t="str">
        <f aca="false">'AVALIAÇÃO MAPA'!AZ89</f>
        <v/>
      </c>
      <c r="Q89" s="27" t="str">
        <f aca="false">'AVALIAÇÃO MAPA'!BA89</f>
        <v/>
      </c>
      <c r="R89" s="38" t="str">
        <f aca="false">IF('AVALIAÇÃO MAPA'!BC89="","",'AVALIAÇÃO MAPA'!BC89/12)</f>
        <v/>
      </c>
      <c r="S89" s="38" t="n">
        <f aca="false">IF(J89&lt;&gt;"",J89,Transicao_Padrao)</f>
        <v>2</v>
      </c>
      <c r="T89" s="27" t="str">
        <f aca="false">IF(O89="","",P89+IF(AND(OR(K89="Receita",K89="Contratação evitada",K89="Horas extras"),L89&lt;&gt;"",M89&lt;&gt;""),Q89,0))</f>
        <v/>
      </c>
      <c r="U89" s="40" t="str">
        <f aca="false">IF(AA89="","",IF(AA89&gt;Limite_Payback,"acima de "&amp;Limite_Payback&amp;" meses",AA89))</f>
        <v/>
      </c>
      <c r="V89" s="40" t="str">
        <f aca="false">IF(AB89="","",IF(AB89&gt;Limite_Payback,"acima de "&amp;Limite_Payback&amp;" meses",AB89))</f>
        <v/>
      </c>
      <c r="W89" s="18" t="str">
        <f aca="false">IF(T89="","",IF(T89&gt;P89,"Inclui efeito em caixa + capacidade com destino financeiro comprovável","Somente efeito em caixa"))</f>
        <v/>
      </c>
      <c r="X89" s="41" t="str">
        <f aca="false">IF(OR(O89="",E89="",E89="Fora"),"",MIN(12,S89)*((O89/12)/2-N(I89))+MAX(0,12-S89)*((O89/12)-N(I89))-N(H89))</f>
        <v/>
      </c>
      <c r="Y89" s="41" t="str">
        <f aca="false">IF(OR(O89="",E89="",E89="Fora"),"",MIN(24,S89)*((O89/12)/2-N(I89))+MAX(0,24-S89)*((O89/12)-N(I89))-N(H89))</f>
        <v/>
      </c>
      <c r="Z89" s="42" t="str">
        <f aca="false">IF(OR(E89="",E89="Fora"),"",IF(AND(E89="Onda 1",'AVALIAÇÃO MAPA'!AP89="SIM"),"Processo com trava na Onda 1. ","")&amp;IF(AND(E89="Onda 1",'AVALIAÇÃO MAPA'!AR89="SIM",AC89&lt;&gt;"P"),"Rota P sem o degrau P na simulação. ","")&amp;IF(AND(AD89=1,SUMIFS($AD$6:$AD$105,$E$6:$E$105,E89)&gt;2),"Mais de 2 projetos de automação nesta onda. ","")&amp;IF(AND(C89="Projeto estratégico",OR(N89="Protótipo",N89="Paralelo"),COUNTIFS($C$6:$C$105,"Projeto estratégico",$N$6:$N$105,"Protótipo")+COUNTIFS($C$6:$C$105,"Projeto estratégico",$N$6:$N$105,"Paralelo")&gt;1),"Mais de 1 projeto estratégico em execução. ","")&amp;IF(AND(N(Q89)&gt;0,OR(K89="",K89="Sem destino")),"Defina o destino das horas liberadas. ",""))</f>
        <v/>
      </c>
      <c r="AA89" s="43" t="str">
        <f aca="false">IF(OR(O89="",H89=""),"",IF(H89=0,0,IF(AND(((O89/12)/2-N(I89))&gt;0,H89&lt;=S89*((O89/12)/2-N(I89))),H89/((O89/12)/2-N(I89)),IF(((O89/12)-N(I89))&lt;=0,999,S89+(H89-S89*((O89/12)/2-N(I89)))/((O89/12)-N(I89))))))</f>
        <v/>
      </c>
      <c r="AB89" s="43" t="str">
        <f aca="false">IF(OR(T89="",H89=""),"",IF(H89=0,0,IF(AND(((T89/12)/2-N(I89))&gt;0,H89&lt;=S89*((T89/12)/2-N(I89))),H89/((T89/12)/2-N(I89)),IF(((T89/12)-N(I89))&lt;=0,999,S89+(H89-S89*((T89/12)/2-N(I89)))/((T89/12)-N(I89))))))</f>
        <v/>
      </c>
      <c r="AC89" s="19" t="str">
        <f aca="false">'AVALIAÇÃO MAPA'!AW89</f>
        <v/>
      </c>
      <c r="AD89" s="19" t="n">
        <f aca="false">IF(OR(AC89="A",AC89="IA"),1,0)</f>
        <v>0</v>
      </c>
    </row>
    <row r="90" customFormat="false" ht="15" hidden="false" customHeight="false" outlineLevel="0" collapsed="false">
      <c r="A90" s="15" t="n">
        <v>85</v>
      </c>
      <c r="B90" s="18" t="str">
        <f aca="false">'AVALIAÇÃO MAPA'!B90</f>
        <v/>
      </c>
      <c r="C90" s="15" t="str">
        <f aca="false">'AVALIAÇÃO MAPA'!AS90</f>
        <v/>
      </c>
      <c r="D90" s="38" t="str">
        <f aca="false">'AVALIAÇÃO MAPA'!AN90</f>
        <v/>
      </c>
      <c r="E90" s="16"/>
      <c r="F90" s="16"/>
      <c r="G90" s="39"/>
      <c r="H90" s="24"/>
      <c r="I90" s="24"/>
      <c r="J90" s="16"/>
      <c r="K90" s="16"/>
      <c r="L90" s="16"/>
      <c r="M90" s="39"/>
      <c r="N90" s="16"/>
      <c r="O90" s="27" t="str">
        <f aca="false">'AVALIAÇÃO MAPA'!BB90</f>
        <v/>
      </c>
      <c r="P90" s="27" t="str">
        <f aca="false">'AVALIAÇÃO MAPA'!AZ90</f>
        <v/>
      </c>
      <c r="Q90" s="27" t="str">
        <f aca="false">'AVALIAÇÃO MAPA'!BA90</f>
        <v/>
      </c>
      <c r="R90" s="38" t="str">
        <f aca="false">IF('AVALIAÇÃO MAPA'!BC90="","",'AVALIAÇÃO MAPA'!BC90/12)</f>
        <v/>
      </c>
      <c r="S90" s="38" t="n">
        <f aca="false">IF(J90&lt;&gt;"",J90,Transicao_Padrao)</f>
        <v>2</v>
      </c>
      <c r="T90" s="27" t="str">
        <f aca="false">IF(O90="","",P90+IF(AND(OR(K90="Receita",K90="Contratação evitada",K90="Horas extras"),L90&lt;&gt;"",M90&lt;&gt;""),Q90,0))</f>
        <v/>
      </c>
      <c r="U90" s="40" t="str">
        <f aca="false">IF(AA90="","",IF(AA90&gt;Limite_Payback,"acima de "&amp;Limite_Payback&amp;" meses",AA90))</f>
        <v/>
      </c>
      <c r="V90" s="40" t="str">
        <f aca="false">IF(AB90="","",IF(AB90&gt;Limite_Payback,"acima de "&amp;Limite_Payback&amp;" meses",AB90))</f>
        <v/>
      </c>
      <c r="W90" s="18" t="str">
        <f aca="false">IF(T90="","",IF(T90&gt;P90,"Inclui efeito em caixa + capacidade com destino financeiro comprovável","Somente efeito em caixa"))</f>
        <v/>
      </c>
      <c r="X90" s="41" t="str">
        <f aca="false">IF(OR(O90="",E90="",E90="Fora"),"",MIN(12,S90)*((O90/12)/2-N(I90))+MAX(0,12-S90)*((O90/12)-N(I90))-N(H90))</f>
        <v/>
      </c>
      <c r="Y90" s="41" t="str">
        <f aca="false">IF(OR(O90="",E90="",E90="Fora"),"",MIN(24,S90)*((O90/12)/2-N(I90))+MAX(0,24-S90)*((O90/12)-N(I90))-N(H90))</f>
        <v/>
      </c>
      <c r="Z90" s="42" t="str">
        <f aca="false">IF(OR(E90="",E90="Fora"),"",IF(AND(E90="Onda 1",'AVALIAÇÃO MAPA'!AP90="SIM"),"Processo com trava na Onda 1. ","")&amp;IF(AND(E90="Onda 1",'AVALIAÇÃO MAPA'!AR90="SIM",AC90&lt;&gt;"P"),"Rota P sem o degrau P na simulação. ","")&amp;IF(AND(AD90=1,SUMIFS($AD$6:$AD$105,$E$6:$E$105,E90)&gt;2),"Mais de 2 projetos de automação nesta onda. ","")&amp;IF(AND(C90="Projeto estratégico",OR(N90="Protótipo",N90="Paralelo"),COUNTIFS($C$6:$C$105,"Projeto estratégico",$N$6:$N$105,"Protótipo")+COUNTIFS($C$6:$C$105,"Projeto estratégico",$N$6:$N$105,"Paralelo")&gt;1),"Mais de 1 projeto estratégico em execução. ","")&amp;IF(AND(N(Q90)&gt;0,OR(K90="",K90="Sem destino")),"Defina o destino das horas liberadas. ",""))</f>
        <v/>
      </c>
      <c r="AA90" s="43" t="str">
        <f aca="false">IF(OR(O90="",H90=""),"",IF(H90=0,0,IF(AND(((O90/12)/2-N(I90))&gt;0,H90&lt;=S90*((O90/12)/2-N(I90))),H90/((O90/12)/2-N(I90)),IF(((O90/12)-N(I90))&lt;=0,999,S90+(H90-S90*((O90/12)/2-N(I90)))/((O90/12)-N(I90))))))</f>
        <v/>
      </c>
      <c r="AB90" s="43" t="str">
        <f aca="false">IF(OR(T90="",H90=""),"",IF(H90=0,0,IF(AND(((T90/12)/2-N(I90))&gt;0,H90&lt;=S90*((T90/12)/2-N(I90))),H90/((T90/12)/2-N(I90)),IF(((T90/12)-N(I90))&lt;=0,999,S90+(H90-S90*((T90/12)/2-N(I90)))/((T90/12)-N(I90))))))</f>
        <v/>
      </c>
      <c r="AC90" s="19" t="str">
        <f aca="false">'AVALIAÇÃO MAPA'!AW90</f>
        <v/>
      </c>
      <c r="AD90" s="19" t="n">
        <f aca="false">IF(OR(AC90="A",AC90="IA"),1,0)</f>
        <v>0</v>
      </c>
    </row>
    <row r="91" customFormat="false" ht="15" hidden="false" customHeight="false" outlineLevel="0" collapsed="false">
      <c r="A91" s="15" t="n">
        <v>86</v>
      </c>
      <c r="B91" s="18" t="str">
        <f aca="false">'AVALIAÇÃO MAPA'!B91</f>
        <v/>
      </c>
      <c r="C91" s="15" t="str">
        <f aca="false">'AVALIAÇÃO MAPA'!AS91</f>
        <v/>
      </c>
      <c r="D91" s="38" t="str">
        <f aca="false">'AVALIAÇÃO MAPA'!AN91</f>
        <v/>
      </c>
      <c r="E91" s="16"/>
      <c r="F91" s="16"/>
      <c r="G91" s="39"/>
      <c r="H91" s="24"/>
      <c r="I91" s="24"/>
      <c r="J91" s="16"/>
      <c r="K91" s="16"/>
      <c r="L91" s="16"/>
      <c r="M91" s="39"/>
      <c r="N91" s="16"/>
      <c r="O91" s="27" t="str">
        <f aca="false">'AVALIAÇÃO MAPA'!BB91</f>
        <v/>
      </c>
      <c r="P91" s="27" t="str">
        <f aca="false">'AVALIAÇÃO MAPA'!AZ91</f>
        <v/>
      </c>
      <c r="Q91" s="27" t="str">
        <f aca="false">'AVALIAÇÃO MAPA'!BA91</f>
        <v/>
      </c>
      <c r="R91" s="38" t="str">
        <f aca="false">IF('AVALIAÇÃO MAPA'!BC91="","",'AVALIAÇÃO MAPA'!BC91/12)</f>
        <v/>
      </c>
      <c r="S91" s="38" t="n">
        <f aca="false">IF(J91&lt;&gt;"",J91,Transicao_Padrao)</f>
        <v>2</v>
      </c>
      <c r="T91" s="27" t="str">
        <f aca="false">IF(O91="","",P91+IF(AND(OR(K91="Receita",K91="Contratação evitada",K91="Horas extras"),L91&lt;&gt;"",M91&lt;&gt;""),Q91,0))</f>
        <v/>
      </c>
      <c r="U91" s="40" t="str">
        <f aca="false">IF(AA91="","",IF(AA91&gt;Limite_Payback,"acima de "&amp;Limite_Payback&amp;" meses",AA91))</f>
        <v/>
      </c>
      <c r="V91" s="40" t="str">
        <f aca="false">IF(AB91="","",IF(AB91&gt;Limite_Payback,"acima de "&amp;Limite_Payback&amp;" meses",AB91))</f>
        <v/>
      </c>
      <c r="W91" s="18" t="str">
        <f aca="false">IF(T91="","",IF(T91&gt;P91,"Inclui efeito em caixa + capacidade com destino financeiro comprovável","Somente efeito em caixa"))</f>
        <v/>
      </c>
      <c r="X91" s="41" t="str">
        <f aca="false">IF(OR(O91="",E91="",E91="Fora"),"",MIN(12,S91)*((O91/12)/2-N(I91))+MAX(0,12-S91)*((O91/12)-N(I91))-N(H91))</f>
        <v/>
      </c>
      <c r="Y91" s="41" t="str">
        <f aca="false">IF(OR(O91="",E91="",E91="Fora"),"",MIN(24,S91)*((O91/12)/2-N(I91))+MAX(0,24-S91)*((O91/12)-N(I91))-N(H91))</f>
        <v/>
      </c>
      <c r="Z91" s="42" t="str">
        <f aca="false">IF(OR(E91="",E91="Fora"),"",IF(AND(E91="Onda 1",'AVALIAÇÃO MAPA'!AP91="SIM"),"Processo com trava na Onda 1. ","")&amp;IF(AND(E91="Onda 1",'AVALIAÇÃO MAPA'!AR91="SIM",AC91&lt;&gt;"P"),"Rota P sem o degrau P na simulação. ","")&amp;IF(AND(AD91=1,SUMIFS($AD$6:$AD$105,$E$6:$E$105,E91)&gt;2),"Mais de 2 projetos de automação nesta onda. ","")&amp;IF(AND(C91="Projeto estratégico",OR(N91="Protótipo",N91="Paralelo"),COUNTIFS($C$6:$C$105,"Projeto estratégico",$N$6:$N$105,"Protótipo")+COUNTIFS($C$6:$C$105,"Projeto estratégico",$N$6:$N$105,"Paralelo")&gt;1),"Mais de 1 projeto estratégico em execução. ","")&amp;IF(AND(N(Q91)&gt;0,OR(K91="",K91="Sem destino")),"Defina o destino das horas liberadas. ",""))</f>
        <v/>
      </c>
      <c r="AA91" s="43" t="str">
        <f aca="false">IF(OR(O91="",H91=""),"",IF(H91=0,0,IF(AND(((O91/12)/2-N(I91))&gt;0,H91&lt;=S91*((O91/12)/2-N(I91))),H91/((O91/12)/2-N(I91)),IF(((O91/12)-N(I91))&lt;=0,999,S91+(H91-S91*((O91/12)/2-N(I91)))/((O91/12)-N(I91))))))</f>
        <v/>
      </c>
      <c r="AB91" s="43" t="str">
        <f aca="false">IF(OR(T91="",H91=""),"",IF(H91=0,0,IF(AND(((T91/12)/2-N(I91))&gt;0,H91&lt;=S91*((T91/12)/2-N(I91))),H91/((T91/12)/2-N(I91)),IF(((T91/12)-N(I91))&lt;=0,999,S91+(H91-S91*((T91/12)/2-N(I91)))/((T91/12)-N(I91))))))</f>
        <v/>
      </c>
      <c r="AC91" s="19" t="str">
        <f aca="false">'AVALIAÇÃO MAPA'!AW91</f>
        <v/>
      </c>
      <c r="AD91" s="19" t="n">
        <f aca="false">IF(OR(AC91="A",AC91="IA"),1,0)</f>
        <v>0</v>
      </c>
    </row>
    <row r="92" customFormat="false" ht="15" hidden="false" customHeight="false" outlineLevel="0" collapsed="false">
      <c r="A92" s="15" t="n">
        <v>87</v>
      </c>
      <c r="B92" s="18" t="str">
        <f aca="false">'AVALIAÇÃO MAPA'!B92</f>
        <v/>
      </c>
      <c r="C92" s="15" t="str">
        <f aca="false">'AVALIAÇÃO MAPA'!AS92</f>
        <v/>
      </c>
      <c r="D92" s="38" t="str">
        <f aca="false">'AVALIAÇÃO MAPA'!AN92</f>
        <v/>
      </c>
      <c r="E92" s="16"/>
      <c r="F92" s="16"/>
      <c r="G92" s="39"/>
      <c r="H92" s="24"/>
      <c r="I92" s="24"/>
      <c r="J92" s="16"/>
      <c r="K92" s="16"/>
      <c r="L92" s="16"/>
      <c r="M92" s="39"/>
      <c r="N92" s="16"/>
      <c r="O92" s="27" t="str">
        <f aca="false">'AVALIAÇÃO MAPA'!BB92</f>
        <v/>
      </c>
      <c r="P92" s="27" t="str">
        <f aca="false">'AVALIAÇÃO MAPA'!AZ92</f>
        <v/>
      </c>
      <c r="Q92" s="27" t="str">
        <f aca="false">'AVALIAÇÃO MAPA'!BA92</f>
        <v/>
      </c>
      <c r="R92" s="38" t="str">
        <f aca="false">IF('AVALIAÇÃO MAPA'!BC92="","",'AVALIAÇÃO MAPA'!BC92/12)</f>
        <v/>
      </c>
      <c r="S92" s="38" t="n">
        <f aca="false">IF(J92&lt;&gt;"",J92,Transicao_Padrao)</f>
        <v>2</v>
      </c>
      <c r="T92" s="27" t="str">
        <f aca="false">IF(O92="","",P92+IF(AND(OR(K92="Receita",K92="Contratação evitada",K92="Horas extras"),L92&lt;&gt;"",M92&lt;&gt;""),Q92,0))</f>
        <v/>
      </c>
      <c r="U92" s="40" t="str">
        <f aca="false">IF(AA92="","",IF(AA92&gt;Limite_Payback,"acima de "&amp;Limite_Payback&amp;" meses",AA92))</f>
        <v/>
      </c>
      <c r="V92" s="40" t="str">
        <f aca="false">IF(AB92="","",IF(AB92&gt;Limite_Payback,"acima de "&amp;Limite_Payback&amp;" meses",AB92))</f>
        <v/>
      </c>
      <c r="W92" s="18" t="str">
        <f aca="false">IF(T92="","",IF(T92&gt;P92,"Inclui efeito em caixa + capacidade com destino financeiro comprovável","Somente efeito em caixa"))</f>
        <v/>
      </c>
      <c r="X92" s="41" t="str">
        <f aca="false">IF(OR(O92="",E92="",E92="Fora"),"",MIN(12,S92)*((O92/12)/2-N(I92))+MAX(0,12-S92)*((O92/12)-N(I92))-N(H92))</f>
        <v/>
      </c>
      <c r="Y92" s="41" t="str">
        <f aca="false">IF(OR(O92="",E92="",E92="Fora"),"",MIN(24,S92)*((O92/12)/2-N(I92))+MAX(0,24-S92)*((O92/12)-N(I92))-N(H92))</f>
        <v/>
      </c>
      <c r="Z92" s="42" t="str">
        <f aca="false">IF(OR(E92="",E92="Fora"),"",IF(AND(E92="Onda 1",'AVALIAÇÃO MAPA'!AP92="SIM"),"Processo com trava na Onda 1. ","")&amp;IF(AND(E92="Onda 1",'AVALIAÇÃO MAPA'!AR92="SIM",AC92&lt;&gt;"P"),"Rota P sem o degrau P na simulação. ","")&amp;IF(AND(AD92=1,SUMIFS($AD$6:$AD$105,$E$6:$E$105,E92)&gt;2),"Mais de 2 projetos de automação nesta onda. ","")&amp;IF(AND(C92="Projeto estratégico",OR(N92="Protótipo",N92="Paralelo"),COUNTIFS($C$6:$C$105,"Projeto estratégico",$N$6:$N$105,"Protótipo")+COUNTIFS($C$6:$C$105,"Projeto estratégico",$N$6:$N$105,"Paralelo")&gt;1),"Mais de 1 projeto estratégico em execução. ","")&amp;IF(AND(N(Q92)&gt;0,OR(K92="",K92="Sem destino")),"Defina o destino das horas liberadas. ",""))</f>
        <v/>
      </c>
      <c r="AA92" s="43" t="str">
        <f aca="false">IF(OR(O92="",H92=""),"",IF(H92=0,0,IF(AND(((O92/12)/2-N(I92))&gt;0,H92&lt;=S92*((O92/12)/2-N(I92))),H92/((O92/12)/2-N(I92)),IF(((O92/12)-N(I92))&lt;=0,999,S92+(H92-S92*((O92/12)/2-N(I92)))/((O92/12)-N(I92))))))</f>
        <v/>
      </c>
      <c r="AB92" s="43" t="str">
        <f aca="false">IF(OR(T92="",H92=""),"",IF(H92=0,0,IF(AND(((T92/12)/2-N(I92))&gt;0,H92&lt;=S92*((T92/12)/2-N(I92))),H92/((T92/12)/2-N(I92)),IF(((T92/12)-N(I92))&lt;=0,999,S92+(H92-S92*((T92/12)/2-N(I92)))/((T92/12)-N(I92))))))</f>
        <v/>
      </c>
      <c r="AC92" s="19" t="str">
        <f aca="false">'AVALIAÇÃO MAPA'!AW92</f>
        <v/>
      </c>
      <c r="AD92" s="19" t="n">
        <f aca="false">IF(OR(AC92="A",AC92="IA"),1,0)</f>
        <v>0</v>
      </c>
    </row>
    <row r="93" customFormat="false" ht="15" hidden="false" customHeight="false" outlineLevel="0" collapsed="false">
      <c r="A93" s="15" t="n">
        <v>88</v>
      </c>
      <c r="B93" s="18" t="str">
        <f aca="false">'AVALIAÇÃO MAPA'!B93</f>
        <v/>
      </c>
      <c r="C93" s="15" t="str">
        <f aca="false">'AVALIAÇÃO MAPA'!AS93</f>
        <v/>
      </c>
      <c r="D93" s="38" t="str">
        <f aca="false">'AVALIAÇÃO MAPA'!AN93</f>
        <v/>
      </c>
      <c r="E93" s="16"/>
      <c r="F93" s="16"/>
      <c r="G93" s="39"/>
      <c r="H93" s="24"/>
      <c r="I93" s="24"/>
      <c r="J93" s="16"/>
      <c r="K93" s="16"/>
      <c r="L93" s="16"/>
      <c r="M93" s="39"/>
      <c r="N93" s="16"/>
      <c r="O93" s="27" t="str">
        <f aca="false">'AVALIAÇÃO MAPA'!BB93</f>
        <v/>
      </c>
      <c r="P93" s="27" t="str">
        <f aca="false">'AVALIAÇÃO MAPA'!AZ93</f>
        <v/>
      </c>
      <c r="Q93" s="27" t="str">
        <f aca="false">'AVALIAÇÃO MAPA'!BA93</f>
        <v/>
      </c>
      <c r="R93" s="38" t="str">
        <f aca="false">IF('AVALIAÇÃO MAPA'!BC93="","",'AVALIAÇÃO MAPA'!BC93/12)</f>
        <v/>
      </c>
      <c r="S93" s="38" t="n">
        <f aca="false">IF(J93&lt;&gt;"",J93,Transicao_Padrao)</f>
        <v>2</v>
      </c>
      <c r="T93" s="27" t="str">
        <f aca="false">IF(O93="","",P93+IF(AND(OR(K93="Receita",K93="Contratação evitada",K93="Horas extras"),L93&lt;&gt;"",M93&lt;&gt;""),Q93,0))</f>
        <v/>
      </c>
      <c r="U93" s="40" t="str">
        <f aca="false">IF(AA93="","",IF(AA93&gt;Limite_Payback,"acima de "&amp;Limite_Payback&amp;" meses",AA93))</f>
        <v/>
      </c>
      <c r="V93" s="40" t="str">
        <f aca="false">IF(AB93="","",IF(AB93&gt;Limite_Payback,"acima de "&amp;Limite_Payback&amp;" meses",AB93))</f>
        <v/>
      </c>
      <c r="W93" s="18" t="str">
        <f aca="false">IF(T93="","",IF(T93&gt;P93,"Inclui efeito em caixa + capacidade com destino financeiro comprovável","Somente efeito em caixa"))</f>
        <v/>
      </c>
      <c r="X93" s="41" t="str">
        <f aca="false">IF(OR(O93="",E93="",E93="Fora"),"",MIN(12,S93)*((O93/12)/2-N(I93))+MAX(0,12-S93)*((O93/12)-N(I93))-N(H93))</f>
        <v/>
      </c>
      <c r="Y93" s="41" t="str">
        <f aca="false">IF(OR(O93="",E93="",E93="Fora"),"",MIN(24,S93)*((O93/12)/2-N(I93))+MAX(0,24-S93)*((O93/12)-N(I93))-N(H93))</f>
        <v/>
      </c>
      <c r="Z93" s="42" t="str">
        <f aca="false">IF(OR(E93="",E93="Fora"),"",IF(AND(E93="Onda 1",'AVALIAÇÃO MAPA'!AP93="SIM"),"Processo com trava na Onda 1. ","")&amp;IF(AND(E93="Onda 1",'AVALIAÇÃO MAPA'!AR93="SIM",AC93&lt;&gt;"P"),"Rota P sem o degrau P na simulação. ","")&amp;IF(AND(AD93=1,SUMIFS($AD$6:$AD$105,$E$6:$E$105,E93)&gt;2),"Mais de 2 projetos de automação nesta onda. ","")&amp;IF(AND(C93="Projeto estratégico",OR(N93="Protótipo",N93="Paralelo"),COUNTIFS($C$6:$C$105,"Projeto estratégico",$N$6:$N$105,"Protótipo")+COUNTIFS($C$6:$C$105,"Projeto estratégico",$N$6:$N$105,"Paralelo")&gt;1),"Mais de 1 projeto estratégico em execução. ","")&amp;IF(AND(N(Q93)&gt;0,OR(K93="",K93="Sem destino")),"Defina o destino das horas liberadas. ",""))</f>
        <v/>
      </c>
      <c r="AA93" s="43" t="str">
        <f aca="false">IF(OR(O93="",H93=""),"",IF(H93=0,0,IF(AND(((O93/12)/2-N(I93))&gt;0,H93&lt;=S93*((O93/12)/2-N(I93))),H93/((O93/12)/2-N(I93)),IF(((O93/12)-N(I93))&lt;=0,999,S93+(H93-S93*((O93/12)/2-N(I93)))/((O93/12)-N(I93))))))</f>
        <v/>
      </c>
      <c r="AB93" s="43" t="str">
        <f aca="false">IF(OR(T93="",H93=""),"",IF(H93=0,0,IF(AND(((T93/12)/2-N(I93))&gt;0,H93&lt;=S93*((T93/12)/2-N(I93))),H93/((T93/12)/2-N(I93)),IF(((T93/12)-N(I93))&lt;=0,999,S93+(H93-S93*((T93/12)/2-N(I93)))/((T93/12)-N(I93))))))</f>
        <v/>
      </c>
      <c r="AC93" s="19" t="str">
        <f aca="false">'AVALIAÇÃO MAPA'!AW93</f>
        <v/>
      </c>
      <c r="AD93" s="19" t="n">
        <f aca="false">IF(OR(AC93="A",AC93="IA"),1,0)</f>
        <v>0</v>
      </c>
    </row>
    <row r="94" customFormat="false" ht="15" hidden="false" customHeight="false" outlineLevel="0" collapsed="false">
      <c r="A94" s="15" t="n">
        <v>89</v>
      </c>
      <c r="B94" s="18" t="str">
        <f aca="false">'AVALIAÇÃO MAPA'!B94</f>
        <v/>
      </c>
      <c r="C94" s="15" t="str">
        <f aca="false">'AVALIAÇÃO MAPA'!AS94</f>
        <v/>
      </c>
      <c r="D94" s="38" t="str">
        <f aca="false">'AVALIAÇÃO MAPA'!AN94</f>
        <v/>
      </c>
      <c r="E94" s="16"/>
      <c r="F94" s="16"/>
      <c r="G94" s="39"/>
      <c r="H94" s="24"/>
      <c r="I94" s="24"/>
      <c r="J94" s="16"/>
      <c r="K94" s="16"/>
      <c r="L94" s="16"/>
      <c r="M94" s="39"/>
      <c r="N94" s="16"/>
      <c r="O94" s="27" t="str">
        <f aca="false">'AVALIAÇÃO MAPA'!BB94</f>
        <v/>
      </c>
      <c r="P94" s="27" t="str">
        <f aca="false">'AVALIAÇÃO MAPA'!AZ94</f>
        <v/>
      </c>
      <c r="Q94" s="27" t="str">
        <f aca="false">'AVALIAÇÃO MAPA'!BA94</f>
        <v/>
      </c>
      <c r="R94" s="38" t="str">
        <f aca="false">IF('AVALIAÇÃO MAPA'!BC94="","",'AVALIAÇÃO MAPA'!BC94/12)</f>
        <v/>
      </c>
      <c r="S94" s="38" t="n">
        <f aca="false">IF(J94&lt;&gt;"",J94,Transicao_Padrao)</f>
        <v>2</v>
      </c>
      <c r="T94" s="27" t="str">
        <f aca="false">IF(O94="","",P94+IF(AND(OR(K94="Receita",K94="Contratação evitada",K94="Horas extras"),L94&lt;&gt;"",M94&lt;&gt;""),Q94,0))</f>
        <v/>
      </c>
      <c r="U94" s="40" t="str">
        <f aca="false">IF(AA94="","",IF(AA94&gt;Limite_Payback,"acima de "&amp;Limite_Payback&amp;" meses",AA94))</f>
        <v/>
      </c>
      <c r="V94" s="40" t="str">
        <f aca="false">IF(AB94="","",IF(AB94&gt;Limite_Payback,"acima de "&amp;Limite_Payback&amp;" meses",AB94))</f>
        <v/>
      </c>
      <c r="W94" s="18" t="str">
        <f aca="false">IF(T94="","",IF(T94&gt;P94,"Inclui efeito em caixa + capacidade com destino financeiro comprovável","Somente efeito em caixa"))</f>
        <v/>
      </c>
      <c r="X94" s="41" t="str">
        <f aca="false">IF(OR(O94="",E94="",E94="Fora"),"",MIN(12,S94)*((O94/12)/2-N(I94))+MAX(0,12-S94)*((O94/12)-N(I94))-N(H94))</f>
        <v/>
      </c>
      <c r="Y94" s="41" t="str">
        <f aca="false">IF(OR(O94="",E94="",E94="Fora"),"",MIN(24,S94)*((O94/12)/2-N(I94))+MAX(0,24-S94)*((O94/12)-N(I94))-N(H94))</f>
        <v/>
      </c>
      <c r="Z94" s="42" t="str">
        <f aca="false">IF(OR(E94="",E94="Fora"),"",IF(AND(E94="Onda 1",'AVALIAÇÃO MAPA'!AP94="SIM"),"Processo com trava na Onda 1. ","")&amp;IF(AND(E94="Onda 1",'AVALIAÇÃO MAPA'!AR94="SIM",AC94&lt;&gt;"P"),"Rota P sem o degrau P na simulação. ","")&amp;IF(AND(AD94=1,SUMIFS($AD$6:$AD$105,$E$6:$E$105,E94)&gt;2),"Mais de 2 projetos de automação nesta onda. ","")&amp;IF(AND(C94="Projeto estratégico",OR(N94="Protótipo",N94="Paralelo"),COUNTIFS($C$6:$C$105,"Projeto estratégico",$N$6:$N$105,"Protótipo")+COUNTIFS($C$6:$C$105,"Projeto estratégico",$N$6:$N$105,"Paralelo")&gt;1),"Mais de 1 projeto estratégico em execução. ","")&amp;IF(AND(N(Q94)&gt;0,OR(K94="",K94="Sem destino")),"Defina o destino das horas liberadas. ",""))</f>
        <v/>
      </c>
      <c r="AA94" s="43" t="str">
        <f aca="false">IF(OR(O94="",H94=""),"",IF(H94=0,0,IF(AND(((O94/12)/2-N(I94))&gt;0,H94&lt;=S94*((O94/12)/2-N(I94))),H94/((O94/12)/2-N(I94)),IF(((O94/12)-N(I94))&lt;=0,999,S94+(H94-S94*((O94/12)/2-N(I94)))/((O94/12)-N(I94))))))</f>
        <v/>
      </c>
      <c r="AB94" s="43" t="str">
        <f aca="false">IF(OR(T94="",H94=""),"",IF(H94=0,0,IF(AND(((T94/12)/2-N(I94))&gt;0,H94&lt;=S94*((T94/12)/2-N(I94))),H94/((T94/12)/2-N(I94)),IF(((T94/12)-N(I94))&lt;=0,999,S94+(H94-S94*((T94/12)/2-N(I94)))/((T94/12)-N(I94))))))</f>
        <v/>
      </c>
      <c r="AC94" s="19" t="str">
        <f aca="false">'AVALIAÇÃO MAPA'!AW94</f>
        <v/>
      </c>
      <c r="AD94" s="19" t="n">
        <f aca="false">IF(OR(AC94="A",AC94="IA"),1,0)</f>
        <v>0</v>
      </c>
    </row>
    <row r="95" customFormat="false" ht="15" hidden="false" customHeight="false" outlineLevel="0" collapsed="false">
      <c r="A95" s="15" t="n">
        <v>90</v>
      </c>
      <c r="B95" s="18" t="str">
        <f aca="false">'AVALIAÇÃO MAPA'!B95</f>
        <v/>
      </c>
      <c r="C95" s="15" t="str">
        <f aca="false">'AVALIAÇÃO MAPA'!AS95</f>
        <v/>
      </c>
      <c r="D95" s="38" t="str">
        <f aca="false">'AVALIAÇÃO MAPA'!AN95</f>
        <v/>
      </c>
      <c r="E95" s="16"/>
      <c r="F95" s="16"/>
      <c r="G95" s="39"/>
      <c r="H95" s="24"/>
      <c r="I95" s="24"/>
      <c r="J95" s="16"/>
      <c r="K95" s="16"/>
      <c r="L95" s="16"/>
      <c r="M95" s="39"/>
      <c r="N95" s="16"/>
      <c r="O95" s="27" t="str">
        <f aca="false">'AVALIAÇÃO MAPA'!BB95</f>
        <v/>
      </c>
      <c r="P95" s="27" t="str">
        <f aca="false">'AVALIAÇÃO MAPA'!AZ95</f>
        <v/>
      </c>
      <c r="Q95" s="27" t="str">
        <f aca="false">'AVALIAÇÃO MAPA'!BA95</f>
        <v/>
      </c>
      <c r="R95" s="38" t="str">
        <f aca="false">IF('AVALIAÇÃO MAPA'!BC95="","",'AVALIAÇÃO MAPA'!BC95/12)</f>
        <v/>
      </c>
      <c r="S95" s="38" t="n">
        <f aca="false">IF(J95&lt;&gt;"",J95,Transicao_Padrao)</f>
        <v>2</v>
      </c>
      <c r="T95" s="27" t="str">
        <f aca="false">IF(O95="","",P95+IF(AND(OR(K95="Receita",K95="Contratação evitada",K95="Horas extras"),L95&lt;&gt;"",M95&lt;&gt;""),Q95,0))</f>
        <v/>
      </c>
      <c r="U95" s="40" t="str">
        <f aca="false">IF(AA95="","",IF(AA95&gt;Limite_Payback,"acima de "&amp;Limite_Payback&amp;" meses",AA95))</f>
        <v/>
      </c>
      <c r="V95" s="40" t="str">
        <f aca="false">IF(AB95="","",IF(AB95&gt;Limite_Payback,"acima de "&amp;Limite_Payback&amp;" meses",AB95))</f>
        <v/>
      </c>
      <c r="W95" s="18" t="str">
        <f aca="false">IF(T95="","",IF(T95&gt;P95,"Inclui efeito em caixa + capacidade com destino financeiro comprovável","Somente efeito em caixa"))</f>
        <v/>
      </c>
      <c r="X95" s="41" t="str">
        <f aca="false">IF(OR(O95="",E95="",E95="Fora"),"",MIN(12,S95)*((O95/12)/2-N(I95))+MAX(0,12-S95)*((O95/12)-N(I95))-N(H95))</f>
        <v/>
      </c>
      <c r="Y95" s="41" t="str">
        <f aca="false">IF(OR(O95="",E95="",E95="Fora"),"",MIN(24,S95)*((O95/12)/2-N(I95))+MAX(0,24-S95)*((O95/12)-N(I95))-N(H95))</f>
        <v/>
      </c>
      <c r="Z95" s="42" t="str">
        <f aca="false">IF(OR(E95="",E95="Fora"),"",IF(AND(E95="Onda 1",'AVALIAÇÃO MAPA'!AP95="SIM"),"Processo com trava na Onda 1. ","")&amp;IF(AND(E95="Onda 1",'AVALIAÇÃO MAPA'!AR95="SIM",AC95&lt;&gt;"P"),"Rota P sem o degrau P na simulação. ","")&amp;IF(AND(AD95=1,SUMIFS($AD$6:$AD$105,$E$6:$E$105,E95)&gt;2),"Mais de 2 projetos de automação nesta onda. ","")&amp;IF(AND(C95="Projeto estratégico",OR(N95="Protótipo",N95="Paralelo"),COUNTIFS($C$6:$C$105,"Projeto estratégico",$N$6:$N$105,"Protótipo")+COUNTIFS($C$6:$C$105,"Projeto estratégico",$N$6:$N$105,"Paralelo")&gt;1),"Mais de 1 projeto estratégico em execução. ","")&amp;IF(AND(N(Q95)&gt;0,OR(K95="",K95="Sem destino")),"Defina o destino das horas liberadas. ",""))</f>
        <v/>
      </c>
      <c r="AA95" s="43" t="str">
        <f aca="false">IF(OR(O95="",H95=""),"",IF(H95=0,0,IF(AND(((O95/12)/2-N(I95))&gt;0,H95&lt;=S95*((O95/12)/2-N(I95))),H95/((O95/12)/2-N(I95)),IF(((O95/12)-N(I95))&lt;=0,999,S95+(H95-S95*((O95/12)/2-N(I95)))/((O95/12)-N(I95))))))</f>
        <v/>
      </c>
      <c r="AB95" s="43" t="str">
        <f aca="false">IF(OR(T95="",H95=""),"",IF(H95=0,0,IF(AND(((T95/12)/2-N(I95))&gt;0,H95&lt;=S95*((T95/12)/2-N(I95))),H95/((T95/12)/2-N(I95)),IF(((T95/12)-N(I95))&lt;=0,999,S95+(H95-S95*((T95/12)/2-N(I95)))/((T95/12)-N(I95))))))</f>
        <v/>
      </c>
      <c r="AC95" s="19" t="str">
        <f aca="false">'AVALIAÇÃO MAPA'!AW95</f>
        <v/>
      </c>
      <c r="AD95" s="19" t="n">
        <f aca="false">IF(OR(AC95="A",AC95="IA"),1,0)</f>
        <v>0</v>
      </c>
    </row>
    <row r="96" customFormat="false" ht="15" hidden="false" customHeight="false" outlineLevel="0" collapsed="false">
      <c r="A96" s="15" t="n">
        <v>91</v>
      </c>
      <c r="B96" s="18" t="str">
        <f aca="false">'AVALIAÇÃO MAPA'!B96</f>
        <v/>
      </c>
      <c r="C96" s="15" t="str">
        <f aca="false">'AVALIAÇÃO MAPA'!AS96</f>
        <v/>
      </c>
      <c r="D96" s="38" t="str">
        <f aca="false">'AVALIAÇÃO MAPA'!AN96</f>
        <v/>
      </c>
      <c r="E96" s="16"/>
      <c r="F96" s="16"/>
      <c r="G96" s="39"/>
      <c r="H96" s="24"/>
      <c r="I96" s="24"/>
      <c r="J96" s="16"/>
      <c r="K96" s="16"/>
      <c r="L96" s="16"/>
      <c r="M96" s="39"/>
      <c r="N96" s="16"/>
      <c r="O96" s="27" t="str">
        <f aca="false">'AVALIAÇÃO MAPA'!BB96</f>
        <v/>
      </c>
      <c r="P96" s="27" t="str">
        <f aca="false">'AVALIAÇÃO MAPA'!AZ96</f>
        <v/>
      </c>
      <c r="Q96" s="27" t="str">
        <f aca="false">'AVALIAÇÃO MAPA'!BA96</f>
        <v/>
      </c>
      <c r="R96" s="38" t="str">
        <f aca="false">IF('AVALIAÇÃO MAPA'!BC96="","",'AVALIAÇÃO MAPA'!BC96/12)</f>
        <v/>
      </c>
      <c r="S96" s="38" t="n">
        <f aca="false">IF(J96&lt;&gt;"",J96,Transicao_Padrao)</f>
        <v>2</v>
      </c>
      <c r="T96" s="27" t="str">
        <f aca="false">IF(O96="","",P96+IF(AND(OR(K96="Receita",K96="Contratação evitada",K96="Horas extras"),L96&lt;&gt;"",M96&lt;&gt;""),Q96,0))</f>
        <v/>
      </c>
      <c r="U96" s="40" t="str">
        <f aca="false">IF(AA96="","",IF(AA96&gt;Limite_Payback,"acima de "&amp;Limite_Payback&amp;" meses",AA96))</f>
        <v/>
      </c>
      <c r="V96" s="40" t="str">
        <f aca="false">IF(AB96="","",IF(AB96&gt;Limite_Payback,"acima de "&amp;Limite_Payback&amp;" meses",AB96))</f>
        <v/>
      </c>
      <c r="W96" s="18" t="str">
        <f aca="false">IF(T96="","",IF(T96&gt;P96,"Inclui efeito em caixa + capacidade com destino financeiro comprovável","Somente efeito em caixa"))</f>
        <v/>
      </c>
      <c r="X96" s="41" t="str">
        <f aca="false">IF(OR(O96="",E96="",E96="Fora"),"",MIN(12,S96)*((O96/12)/2-N(I96))+MAX(0,12-S96)*((O96/12)-N(I96))-N(H96))</f>
        <v/>
      </c>
      <c r="Y96" s="41" t="str">
        <f aca="false">IF(OR(O96="",E96="",E96="Fora"),"",MIN(24,S96)*((O96/12)/2-N(I96))+MAX(0,24-S96)*((O96/12)-N(I96))-N(H96))</f>
        <v/>
      </c>
      <c r="Z96" s="42" t="str">
        <f aca="false">IF(OR(E96="",E96="Fora"),"",IF(AND(E96="Onda 1",'AVALIAÇÃO MAPA'!AP96="SIM"),"Processo com trava na Onda 1. ","")&amp;IF(AND(E96="Onda 1",'AVALIAÇÃO MAPA'!AR96="SIM",AC96&lt;&gt;"P"),"Rota P sem o degrau P na simulação. ","")&amp;IF(AND(AD96=1,SUMIFS($AD$6:$AD$105,$E$6:$E$105,E96)&gt;2),"Mais de 2 projetos de automação nesta onda. ","")&amp;IF(AND(C96="Projeto estratégico",OR(N96="Protótipo",N96="Paralelo"),COUNTIFS($C$6:$C$105,"Projeto estratégico",$N$6:$N$105,"Protótipo")+COUNTIFS($C$6:$C$105,"Projeto estratégico",$N$6:$N$105,"Paralelo")&gt;1),"Mais de 1 projeto estratégico em execução. ","")&amp;IF(AND(N(Q96)&gt;0,OR(K96="",K96="Sem destino")),"Defina o destino das horas liberadas. ",""))</f>
        <v/>
      </c>
      <c r="AA96" s="43" t="str">
        <f aca="false">IF(OR(O96="",H96=""),"",IF(H96=0,0,IF(AND(((O96/12)/2-N(I96))&gt;0,H96&lt;=S96*((O96/12)/2-N(I96))),H96/((O96/12)/2-N(I96)),IF(((O96/12)-N(I96))&lt;=0,999,S96+(H96-S96*((O96/12)/2-N(I96)))/((O96/12)-N(I96))))))</f>
        <v/>
      </c>
      <c r="AB96" s="43" t="str">
        <f aca="false">IF(OR(T96="",H96=""),"",IF(H96=0,0,IF(AND(((T96/12)/2-N(I96))&gt;0,H96&lt;=S96*((T96/12)/2-N(I96))),H96/((T96/12)/2-N(I96)),IF(((T96/12)-N(I96))&lt;=0,999,S96+(H96-S96*((T96/12)/2-N(I96)))/((T96/12)-N(I96))))))</f>
        <v/>
      </c>
      <c r="AC96" s="19" t="str">
        <f aca="false">'AVALIAÇÃO MAPA'!AW96</f>
        <v/>
      </c>
      <c r="AD96" s="19" t="n">
        <f aca="false">IF(OR(AC96="A",AC96="IA"),1,0)</f>
        <v>0</v>
      </c>
    </row>
    <row r="97" customFormat="false" ht="15" hidden="false" customHeight="false" outlineLevel="0" collapsed="false">
      <c r="A97" s="15" t="n">
        <v>92</v>
      </c>
      <c r="B97" s="18" t="str">
        <f aca="false">'AVALIAÇÃO MAPA'!B97</f>
        <v/>
      </c>
      <c r="C97" s="15" t="str">
        <f aca="false">'AVALIAÇÃO MAPA'!AS97</f>
        <v/>
      </c>
      <c r="D97" s="38" t="str">
        <f aca="false">'AVALIAÇÃO MAPA'!AN97</f>
        <v/>
      </c>
      <c r="E97" s="16"/>
      <c r="F97" s="16"/>
      <c r="G97" s="39"/>
      <c r="H97" s="24"/>
      <c r="I97" s="24"/>
      <c r="J97" s="16"/>
      <c r="K97" s="16"/>
      <c r="L97" s="16"/>
      <c r="M97" s="39"/>
      <c r="N97" s="16"/>
      <c r="O97" s="27" t="str">
        <f aca="false">'AVALIAÇÃO MAPA'!BB97</f>
        <v/>
      </c>
      <c r="P97" s="27" t="str">
        <f aca="false">'AVALIAÇÃO MAPA'!AZ97</f>
        <v/>
      </c>
      <c r="Q97" s="27" t="str">
        <f aca="false">'AVALIAÇÃO MAPA'!BA97</f>
        <v/>
      </c>
      <c r="R97" s="38" t="str">
        <f aca="false">IF('AVALIAÇÃO MAPA'!BC97="","",'AVALIAÇÃO MAPA'!BC97/12)</f>
        <v/>
      </c>
      <c r="S97" s="38" t="n">
        <f aca="false">IF(J97&lt;&gt;"",J97,Transicao_Padrao)</f>
        <v>2</v>
      </c>
      <c r="T97" s="27" t="str">
        <f aca="false">IF(O97="","",P97+IF(AND(OR(K97="Receita",K97="Contratação evitada",K97="Horas extras"),L97&lt;&gt;"",M97&lt;&gt;""),Q97,0))</f>
        <v/>
      </c>
      <c r="U97" s="40" t="str">
        <f aca="false">IF(AA97="","",IF(AA97&gt;Limite_Payback,"acima de "&amp;Limite_Payback&amp;" meses",AA97))</f>
        <v/>
      </c>
      <c r="V97" s="40" t="str">
        <f aca="false">IF(AB97="","",IF(AB97&gt;Limite_Payback,"acima de "&amp;Limite_Payback&amp;" meses",AB97))</f>
        <v/>
      </c>
      <c r="W97" s="18" t="str">
        <f aca="false">IF(T97="","",IF(T97&gt;P97,"Inclui efeito em caixa + capacidade com destino financeiro comprovável","Somente efeito em caixa"))</f>
        <v/>
      </c>
      <c r="X97" s="41" t="str">
        <f aca="false">IF(OR(O97="",E97="",E97="Fora"),"",MIN(12,S97)*((O97/12)/2-N(I97))+MAX(0,12-S97)*((O97/12)-N(I97))-N(H97))</f>
        <v/>
      </c>
      <c r="Y97" s="41" t="str">
        <f aca="false">IF(OR(O97="",E97="",E97="Fora"),"",MIN(24,S97)*((O97/12)/2-N(I97))+MAX(0,24-S97)*((O97/12)-N(I97))-N(H97))</f>
        <v/>
      </c>
      <c r="Z97" s="42" t="str">
        <f aca="false">IF(OR(E97="",E97="Fora"),"",IF(AND(E97="Onda 1",'AVALIAÇÃO MAPA'!AP97="SIM"),"Processo com trava na Onda 1. ","")&amp;IF(AND(E97="Onda 1",'AVALIAÇÃO MAPA'!AR97="SIM",AC97&lt;&gt;"P"),"Rota P sem o degrau P na simulação. ","")&amp;IF(AND(AD97=1,SUMIFS($AD$6:$AD$105,$E$6:$E$105,E97)&gt;2),"Mais de 2 projetos de automação nesta onda. ","")&amp;IF(AND(C97="Projeto estratégico",OR(N97="Protótipo",N97="Paralelo"),COUNTIFS($C$6:$C$105,"Projeto estratégico",$N$6:$N$105,"Protótipo")+COUNTIFS($C$6:$C$105,"Projeto estratégico",$N$6:$N$105,"Paralelo")&gt;1),"Mais de 1 projeto estratégico em execução. ","")&amp;IF(AND(N(Q97)&gt;0,OR(K97="",K97="Sem destino")),"Defina o destino das horas liberadas. ",""))</f>
        <v/>
      </c>
      <c r="AA97" s="43" t="str">
        <f aca="false">IF(OR(O97="",H97=""),"",IF(H97=0,0,IF(AND(((O97/12)/2-N(I97))&gt;0,H97&lt;=S97*((O97/12)/2-N(I97))),H97/((O97/12)/2-N(I97)),IF(((O97/12)-N(I97))&lt;=0,999,S97+(H97-S97*((O97/12)/2-N(I97)))/((O97/12)-N(I97))))))</f>
        <v/>
      </c>
      <c r="AB97" s="43" t="str">
        <f aca="false">IF(OR(T97="",H97=""),"",IF(H97=0,0,IF(AND(((T97/12)/2-N(I97))&gt;0,H97&lt;=S97*((T97/12)/2-N(I97))),H97/((T97/12)/2-N(I97)),IF(((T97/12)-N(I97))&lt;=0,999,S97+(H97-S97*((T97/12)/2-N(I97)))/((T97/12)-N(I97))))))</f>
        <v/>
      </c>
      <c r="AC97" s="19" t="str">
        <f aca="false">'AVALIAÇÃO MAPA'!AW97</f>
        <v/>
      </c>
      <c r="AD97" s="19" t="n">
        <f aca="false">IF(OR(AC97="A",AC97="IA"),1,0)</f>
        <v>0</v>
      </c>
    </row>
    <row r="98" customFormat="false" ht="15" hidden="false" customHeight="false" outlineLevel="0" collapsed="false">
      <c r="A98" s="15" t="n">
        <v>93</v>
      </c>
      <c r="B98" s="18" t="str">
        <f aca="false">'AVALIAÇÃO MAPA'!B98</f>
        <v/>
      </c>
      <c r="C98" s="15" t="str">
        <f aca="false">'AVALIAÇÃO MAPA'!AS98</f>
        <v/>
      </c>
      <c r="D98" s="38" t="str">
        <f aca="false">'AVALIAÇÃO MAPA'!AN98</f>
        <v/>
      </c>
      <c r="E98" s="16"/>
      <c r="F98" s="16"/>
      <c r="G98" s="39"/>
      <c r="H98" s="24"/>
      <c r="I98" s="24"/>
      <c r="J98" s="16"/>
      <c r="K98" s="16"/>
      <c r="L98" s="16"/>
      <c r="M98" s="39"/>
      <c r="N98" s="16"/>
      <c r="O98" s="27" t="str">
        <f aca="false">'AVALIAÇÃO MAPA'!BB98</f>
        <v/>
      </c>
      <c r="P98" s="27" t="str">
        <f aca="false">'AVALIAÇÃO MAPA'!AZ98</f>
        <v/>
      </c>
      <c r="Q98" s="27" t="str">
        <f aca="false">'AVALIAÇÃO MAPA'!BA98</f>
        <v/>
      </c>
      <c r="R98" s="38" t="str">
        <f aca="false">IF('AVALIAÇÃO MAPA'!BC98="","",'AVALIAÇÃO MAPA'!BC98/12)</f>
        <v/>
      </c>
      <c r="S98" s="38" t="n">
        <f aca="false">IF(J98&lt;&gt;"",J98,Transicao_Padrao)</f>
        <v>2</v>
      </c>
      <c r="T98" s="27" t="str">
        <f aca="false">IF(O98="","",P98+IF(AND(OR(K98="Receita",K98="Contratação evitada",K98="Horas extras"),L98&lt;&gt;"",M98&lt;&gt;""),Q98,0))</f>
        <v/>
      </c>
      <c r="U98" s="40" t="str">
        <f aca="false">IF(AA98="","",IF(AA98&gt;Limite_Payback,"acima de "&amp;Limite_Payback&amp;" meses",AA98))</f>
        <v/>
      </c>
      <c r="V98" s="40" t="str">
        <f aca="false">IF(AB98="","",IF(AB98&gt;Limite_Payback,"acima de "&amp;Limite_Payback&amp;" meses",AB98))</f>
        <v/>
      </c>
      <c r="W98" s="18" t="str">
        <f aca="false">IF(T98="","",IF(T98&gt;P98,"Inclui efeito em caixa + capacidade com destino financeiro comprovável","Somente efeito em caixa"))</f>
        <v/>
      </c>
      <c r="X98" s="41" t="str">
        <f aca="false">IF(OR(O98="",E98="",E98="Fora"),"",MIN(12,S98)*((O98/12)/2-N(I98))+MAX(0,12-S98)*((O98/12)-N(I98))-N(H98))</f>
        <v/>
      </c>
      <c r="Y98" s="41" t="str">
        <f aca="false">IF(OR(O98="",E98="",E98="Fora"),"",MIN(24,S98)*((O98/12)/2-N(I98))+MAX(0,24-S98)*((O98/12)-N(I98))-N(H98))</f>
        <v/>
      </c>
      <c r="Z98" s="42" t="str">
        <f aca="false">IF(OR(E98="",E98="Fora"),"",IF(AND(E98="Onda 1",'AVALIAÇÃO MAPA'!AP98="SIM"),"Processo com trava na Onda 1. ","")&amp;IF(AND(E98="Onda 1",'AVALIAÇÃO MAPA'!AR98="SIM",AC98&lt;&gt;"P"),"Rota P sem o degrau P na simulação. ","")&amp;IF(AND(AD98=1,SUMIFS($AD$6:$AD$105,$E$6:$E$105,E98)&gt;2),"Mais de 2 projetos de automação nesta onda. ","")&amp;IF(AND(C98="Projeto estratégico",OR(N98="Protótipo",N98="Paralelo"),COUNTIFS($C$6:$C$105,"Projeto estratégico",$N$6:$N$105,"Protótipo")+COUNTIFS($C$6:$C$105,"Projeto estratégico",$N$6:$N$105,"Paralelo")&gt;1),"Mais de 1 projeto estratégico em execução. ","")&amp;IF(AND(N(Q98)&gt;0,OR(K98="",K98="Sem destino")),"Defina o destino das horas liberadas. ",""))</f>
        <v/>
      </c>
      <c r="AA98" s="43" t="str">
        <f aca="false">IF(OR(O98="",H98=""),"",IF(H98=0,0,IF(AND(((O98/12)/2-N(I98))&gt;0,H98&lt;=S98*((O98/12)/2-N(I98))),H98/((O98/12)/2-N(I98)),IF(((O98/12)-N(I98))&lt;=0,999,S98+(H98-S98*((O98/12)/2-N(I98)))/((O98/12)-N(I98))))))</f>
        <v/>
      </c>
      <c r="AB98" s="43" t="str">
        <f aca="false">IF(OR(T98="",H98=""),"",IF(H98=0,0,IF(AND(((T98/12)/2-N(I98))&gt;0,H98&lt;=S98*((T98/12)/2-N(I98))),H98/((T98/12)/2-N(I98)),IF(((T98/12)-N(I98))&lt;=0,999,S98+(H98-S98*((T98/12)/2-N(I98)))/((T98/12)-N(I98))))))</f>
        <v/>
      </c>
      <c r="AC98" s="19" t="str">
        <f aca="false">'AVALIAÇÃO MAPA'!AW98</f>
        <v/>
      </c>
      <c r="AD98" s="19" t="n">
        <f aca="false">IF(OR(AC98="A",AC98="IA"),1,0)</f>
        <v>0</v>
      </c>
    </row>
    <row r="99" customFormat="false" ht="15" hidden="false" customHeight="false" outlineLevel="0" collapsed="false">
      <c r="A99" s="15" t="n">
        <v>94</v>
      </c>
      <c r="B99" s="18" t="str">
        <f aca="false">'AVALIAÇÃO MAPA'!B99</f>
        <v/>
      </c>
      <c r="C99" s="15" t="str">
        <f aca="false">'AVALIAÇÃO MAPA'!AS99</f>
        <v/>
      </c>
      <c r="D99" s="38" t="str">
        <f aca="false">'AVALIAÇÃO MAPA'!AN99</f>
        <v/>
      </c>
      <c r="E99" s="16"/>
      <c r="F99" s="16"/>
      <c r="G99" s="39"/>
      <c r="H99" s="24"/>
      <c r="I99" s="24"/>
      <c r="J99" s="16"/>
      <c r="K99" s="16"/>
      <c r="L99" s="16"/>
      <c r="M99" s="39"/>
      <c r="N99" s="16"/>
      <c r="O99" s="27" t="str">
        <f aca="false">'AVALIAÇÃO MAPA'!BB99</f>
        <v/>
      </c>
      <c r="P99" s="27" t="str">
        <f aca="false">'AVALIAÇÃO MAPA'!AZ99</f>
        <v/>
      </c>
      <c r="Q99" s="27" t="str">
        <f aca="false">'AVALIAÇÃO MAPA'!BA99</f>
        <v/>
      </c>
      <c r="R99" s="38" t="str">
        <f aca="false">IF('AVALIAÇÃO MAPA'!BC99="","",'AVALIAÇÃO MAPA'!BC99/12)</f>
        <v/>
      </c>
      <c r="S99" s="38" t="n">
        <f aca="false">IF(J99&lt;&gt;"",J99,Transicao_Padrao)</f>
        <v>2</v>
      </c>
      <c r="T99" s="27" t="str">
        <f aca="false">IF(O99="","",P99+IF(AND(OR(K99="Receita",K99="Contratação evitada",K99="Horas extras"),L99&lt;&gt;"",M99&lt;&gt;""),Q99,0))</f>
        <v/>
      </c>
      <c r="U99" s="40" t="str">
        <f aca="false">IF(AA99="","",IF(AA99&gt;Limite_Payback,"acima de "&amp;Limite_Payback&amp;" meses",AA99))</f>
        <v/>
      </c>
      <c r="V99" s="40" t="str">
        <f aca="false">IF(AB99="","",IF(AB99&gt;Limite_Payback,"acima de "&amp;Limite_Payback&amp;" meses",AB99))</f>
        <v/>
      </c>
      <c r="W99" s="18" t="str">
        <f aca="false">IF(T99="","",IF(T99&gt;P99,"Inclui efeito em caixa + capacidade com destino financeiro comprovável","Somente efeito em caixa"))</f>
        <v/>
      </c>
      <c r="X99" s="41" t="str">
        <f aca="false">IF(OR(O99="",E99="",E99="Fora"),"",MIN(12,S99)*((O99/12)/2-N(I99))+MAX(0,12-S99)*((O99/12)-N(I99))-N(H99))</f>
        <v/>
      </c>
      <c r="Y99" s="41" t="str">
        <f aca="false">IF(OR(O99="",E99="",E99="Fora"),"",MIN(24,S99)*((O99/12)/2-N(I99))+MAX(0,24-S99)*((O99/12)-N(I99))-N(H99))</f>
        <v/>
      </c>
      <c r="Z99" s="42" t="str">
        <f aca="false">IF(OR(E99="",E99="Fora"),"",IF(AND(E99="Onda 1",'AVALIAÇÃO MAPA'!AP99="SIM"),"Processo com trava na Onda 1. ","")&amp;IF(AND(E99="Onda 1",'AVALIAÇÃO MAPA'!AR99="SIM",AC99&lt;&gt;"P"),"Rota P sem o degrau P na simulação. ","")&amp;IF(AND(AD99=1,SUMIFS($AD$6:$AD$105,$E$6:$E$105,E99)&gt;2),"Mais de 2 projetos de automação nesta onda. ","")&amp;IF(AND(C99="Projeto estratégico",OR(N99="Protótipo",N99="Paralelo"),COUNTIFS($C$6:$C$105,"Projeto estratégico",$N$6:$N$105,"Protótipo")+COUNTIFS($C$6:$C$105,"Projeto estratégico",$N$6:$N$105,"Paralelo")&gt;1),"Mais de 1 projeto estratégico em execução. ","")&amp;IF(AND(N(Q99)&gt;0,OR(K99="",K99="Sem destino")),"Defina o destino das horas liberadas. ",""))</f>
        <v/>
      </c>
      <c r="AA99" s="43" t="str">
        <f aca="false">IF(OR(O99="",H99=""),"",IF(H99=0,0,IF(AND(((O99/12)/2-N(I99))&gt;0,H99&lt;=S99*((O99/12)/2-N(I99))),H99/((O99/12)/2-N(I99)),IF(((O99/12)-N(I99))&lt;=0,999,S99+(H99-S99*((O99/12)/2-N(I99)))/((O99/12)-N(I99))))))</f>
        <v/>
      </c>
      <c r="AB99" s="43" t="str">
        <f aca="false">IF(OR(T99="",H99=""),"",IF(H99=0,0,IF(AND(((T99/12)/2-N(I99))&gt;0,H99&lt;=S99*((T99/12)/2-N(I99))),H99/((T99/12)/2-N(I99)),IF(((T99/12)-N(I99))&lt;=0,999,S99+(H99-S99*((T99/12)/2-N(I99)))/((T99/12)-N(I99))))))</f>
        <v/>
      </c>
      <c r="AC99" s="19" t="str">
        <f aca="false">'AVALIAÇÃO MAPA'!AW99</f>
        <v/>
      </c>
      <c r="AD99" s="19" t="n">
        <f aca="false">IF(OR(AC99="A",AC99="IA"),1,0)</f>
        <v>0</v>
      </c>
    </row>
    <row r="100" customFormat="false" ht="15" hidden="false" customHeight="false" outlineLevel="0" collapsed="false">
      <c r="A100" s="15" t="n">
        <v>95</v>
      </c>
      <c r="B100" s="18" t="str">
        <f aca="false">'AVALIAÇÃO MAPA'!B100</f>
        <v/>
      </c>
      <c r="C100" s="15" t="str">
        <f aca="false">'AVALIAÇÃO MAPA'!AS100</f>
        <v/>
      </c>
      <c r="D100" s="38" t="str">
        <f aca="false">'AVALIAÇÃO MAPA'!AN100</f>
        <v/>
      </c>
      <c r="E100" s="16"/>
      <c r="F100" s="16"/>
      <c r="G100" s="39"/>
      <c r="H100" s="24"/>
      <c r="I100" s="24"/>
      <c r="J100" s="16"/>
      <c r="K100" s="16"/>
      <c r="L100" s="16"/>
      <c r="M100" s="39"/>
      <c r="N100" s="16"/>
      <c r="O100" s="27" t="str">
        <f aca="false">'AVALIAÇÃO MAPA'!BB100</f>
        <v/>
      </c>
      <c r="P100" s="27" t="str">
        <f aca="false">'AVALIAÇÃO MAPA'!AZ100</f>
        <v/>
      </c>
      <c r="Q100" s="27" t="str">
        <f aca="false">'AVALIAÇÃO MAPA'!BA100</f>
        <v/>
      </c>
      <c r="R100" s="38" t="str">
        <f aca="false">IF('AVALIAÇÃO MAPA'!BC100="","",'AVALIAÇÃO MAPA'!BC100/12)</f>
        <v/>
      </c>
      <c r="S100" s="38" t="n">
        <f aca="false">IF(J100&lt;&gt;"",J100,Transicao_Padrao)</f>
        <v>2</v>
      </c>
      <c r="T100" s="27" t="str">
        <f aca="false">IF(O100="","",P100+IF(AND(OR(K100="Receita",K100="Contratação evitada",K100="Horas extras"),L100&lt;&gt;"",M100&lt;&gt;""),Q100,0))</f>
        <v/>
      </c>
      <c r="U100" s="40" t="str">
        <f aca="false">IF(AA100="","",IF(AA100&gt;Limite_Payback,"acima de "&amp;Limite_Payback&amp;" meses",AA100))</f>
        <v/>
      </c>
      <c r="V100" s="40" t="str">
        <f aca="false">IF(AB100="","",IF(AB100&gt;Limite_Payback,"acima de "&amp;Limite_Payback&amp;" meses",AB100))</f>
        <v/>
      </c>
      <c r="W100" s="18" t="str">
        <f aca="false">IF(T100="","",IF(T100&gt;P100,"Inclui efeito em caixa + capacidade com destino financeiro comprovável","Somente efeito em caixa"))</f>
        <v/>
      </c>
      <c r="X100" s="41" t="str">
        <f aca="false">IF(OR(O100="",E100="",E100="Fora"),"",MIN(12,S100)*((O100/12)/2-N(I100))+MAX(0,12-S100)*((O100/12)-N(I100))-N(H100))</f>
        <v/>
      </c>
      <c r="Y100" s="41" t="str">
        <f aca="false">IF(OR(O100="",E100="",E100="Fora"),"",MIN(24,S100)*((O100/12)/2-N(I100))+MAX(0,24-S100)*((O100/12)-N(I100))-N(H100))</f>
        <v/>
      </c>
      <c r="Z100" s="42" t="str">
        <f aca="false">IF(OR(E100="",E100="Fora"),"",IF(AND(E100="Onda 1",'AVALIAÇÃO MAPA'!AP100="SIM"),"Processo com trava na Onda 1. ","")&amp;IF(AND(E100="Onda 1",'AVALIAÇÃO MAPA'!AR100="SIM",AC100&lt;&gt;"P"),"Rota P sem o degrau P na simulação. ","")&amp;IF(AND(AD100=1,SUMIFS($AD$6:$AD$105,$E$6:$E$105,E100)&gt;2),"Mais de 2 projetos de automação nesta onda. ","")&amp;IF(AND(C100="Projeto estratégico",OR(N100="Protótipo",N100="Paralelo"),COUNTIFS($C$6:$C$105,"Projeto estratégico",$N$6:$N$105,"Protótipo")+COUNTIFS($C$6:$C$105,"Projeto estratégico",$N$6:$N$105,"Paralelo")&gt;1),"Mais de 1 projeto estratégico em execução. ","")&amp;IF(AND(N(Q100)&gt;0,OR(K100="",K100="Sem destino")),"Defina o destino das horas liberadas. ",""))</f>
        <v/>
      </c>
      <c r="AA100" s="43" t="str">
        <f aca="false">IF(OR(O100="",H100=""),"",IF(H100=0,0,IF(AND(((O100/12)/2-N(I100))&gt;0,H100&lt;=S100*((O100/12)/2-N(I100))),H100/((O100/12)/2-N(I100)),IF(((O100/12)-N(I100))&lt;=0,999,S100+(H100-S100*((O100/12)/2-N(I100)))/((O100/12)-N(I100))))))</f>
        <v/>
      </c>
      <c r="AB100" s="43" t="str">
        <f aca="false">IF(OR(T100="",H100=""),"",IF(H100=0,0,IF(AND(((T100/12)/2-N(I100))&gt;0,H100&lt;=S100*((T100/12)/2-N(I100))),H100/((T100/12)/2-N(I100)),IF(((T100/12)-N(I100))&lt;=0,999,S100+(H100-S100*((T100/12)/2-N(I100)))/((T100/12)-N(I100))))))</f>
        <v/>
      </c>
      <c r="AC100" s="19" t="str">
        <f aca="false">'AVALIAÇÃO MAPA'!AW100</f>
        <v/>
      </c>
      <c r="AD100" s="19" t="n">
        <f aca="false">IF(OR(AC100="A",AC100="IA"),1,0)</f>
        <v>0</v>
      </c>
    </row>
    <row r="101" customFormat="false" ht="15" hidden="false" customHeight="false" outlineLevel="0" collapsed="false">
      <c r="A101" s="15" t="n">
        <v>96</v>
      </c>
      <c r="B101" s="18" t="str">
        <f aca="false">'AVALIAÇÃO MAPA'!B101</f>
        <v/>
      </c>
      <c r="C101" s="15" t="str">
        <f aca="false">'AVALIAÇÃO MAPA'!AS101</f>
        <v/>
      </c>
      <c r="D101" s="38" t="str">
        <f aca="false">'AVALIAÇÃO MAPA'!AN101</f>
        <v/>
      </c>
      <c r="E101" s="16"/>
      <c r="F101" s="16"/>
      <c r="G101" s="39"/>
      <c r="H101" s="24"/>
      <c r="I101" s="24"/>
      <c r="J101" s="16"/>
      <c r="K101" s="16"/>
      <c r="L101" s="16"/>
      <c r="M101" s="39"/>
      <c r="N101" s="16"/>
      <c r="O101" s="27" t="str">
        <f aca="false">'AVALIAÇÃO MAPA'!BB101</f>
        <v/>
      </c>
      <c r="P101" s="27" t="str">
        <f aca="false">'AVALIAÇÃO MAPA'!AZ101</f>
        <v/>
      </c>
      <c r="Q101" s="27" t="str">
        <f aca="false">'AVALIAÇÃO MAPA'!BA101</f>
        <v/>
      </c>
      <c r="R101" s="38" t="str">
        <f aca="false">IF('AVALIAÇÃO MAPA'!BC101="","",'AVALIAÇÃO MAPA'!BC101/12)</f>
        <v/>
      </c>
      <c r="S101" s="38" t="n">
        <f aca="false">IF(J101&lt;&gt;"",J101,Transicao_Padrao)</f>
        <v>2</v>
      </c>
      <c r="T101" s="27" t="str">
        <f aca="false">IF(O101="","",P101+IF(AND(OR(K101="Receita",K101="Contratação evitada",K101="Horas extras"),L101&lt;&gt;"",M101&lt;&gt;""),Q101,0))</f>
        <v/>
      </c>
      <c r="U101" s="40" t="str">
        <f aca="false">IF(AA101="","",IF(AA101&gt;Limite_Payback,"acima de "&amp;Limite_Payback&amp;" meses",AA101))</f>
        <v/>
      </c>
      <c r="V101" s="40" t="str">
        <f aca="false">IF(AB101="","",IF(AB101&gt;Limite_Payback,"acima de "&amp;Limite_Payback&amp;" meses",AB101))</f>
        <v/>
      </c>
      <c r="W101" s="18" t="str">
        <f aca="false">IF(T101="","",IF(T101&gt;P101,"Inclui efeito em caixa + capacidade com destino financeiro comprovável","Somente efeito em caixa"))</f>
        <v/>
      </c>
      <c r="X101" s="41" t="str">
        <f aca="false">IF(OR(O101="",E101="",E101="Fora"),"",MIN(12,S101)*((O101/12)/2-N(I101))+MAX(0,12-S101)*((O101/12)-N(I101))-N(H101))</f>
        <v/>
      </c>
      <c r="Y101" s="41" t="str">
        <f aca="false">IF(OR(O101="",E101="",E101="Fora"),"",MIN(24,S101)*((O101/12)/2-N(I101))+MAX(0,24-S101)*((O101/12)-N(I101))-N(H101))</f>
        <v/>
      </c>
      <c r="Z101" s="42" t="str">
        <f aca="false">IF(OR(E101="",E101="Fora"),"",IF(AND(E101="Onda 1",'AVALIAÇÃO MAPA'!AP101="SIM"),"Processo com trava na Onda 1. ","")&amp;IF(AND(E101="Onda 1",'AVALIAÇÃO MAPA'!AR101="SIM",AC101&lt;&gt;"P"),"Rota P sem o degrau P na simulação. ","")&amp;IF(AND(AD101=1,SUMIFS($AD$6:$AD$105,$E$6:$E$105,E101)&gt;2),"Mais de 2 projetos de automação nesta onda. ","")&amp;IF(AND(C101="Projeto estratégico",OR(N101="Protótipo",N101="Paralelo"),COUNTIFS($C$6:$C$105,"Projeto estratégico",$N$6:$N$105,"Protótipo")+COUNTIFS($C$6:$C$105,"Projeto estratégico",$N$6:$N$105,"Paralelo")&gt;1),"Mais de 1 projeto estratégico em execução. ","")&amp;IF(AND(N(Q101)&gt;0,OR(K101="",K101="Sem destino")),"Defina o destino das horas liberadas. ",""))</f>
        <v/>
      </c>
      <c r="AA101" s="43" t="str">
        <f aca="false">IF(OR(O101="",H101=""),"",IF(H101=0,0,IF(AND(((O101/12)/2-N(I101))&gt;0,H101&lt;=S101*((O101/12)/2-N(I101))),H101/((O101/12)/2-N(I101)),IF(((O101/12)-N(I101))&lt;=0,999,S101+(H101-S101*((O101/12)/2-N(I101)))/((O101/12)-N(I101))))))</f>
        <v/>
      </c>
      <c r="AB101" s="43" t="str">
        <f aca="false">IF(OR(T101="",H101=""),"",IF(H101=0,0,IF(AND(((T101/12)/2-N(I101))&gt;0,H101&lt;=S101*((T101/12)/2-N(I101))),H101/((T101/12)/2-N(I101)),IF(((T101/12)-N(I101))&lt;=0,999,S101+(H101-S101*((T101/12)/2-N(I101)))/((T101/12)-N(I101))))))</f>
        <v/>
      </c>
      <c r="AC101" s="19" t="str">
        <f aca="false">'AVALIAÇÃO MAPA'!AW101</f>
        <v/>
      </c>
      <c r="AD101" s="19" t="n">
        <f aca="false">IF(OR(AC101="A",AC101="IA"),1,0)</f>
        <v>0</v>
      </c>
    </row>
    <row r="102" customFormat="false" ht="15" hidden="false" customHeight="false" outlineLevel="0" collapsed="false">
      <c r="A102" s="15" t="n">
        <v>97</v>
      </c>
      <c r="B102" s="18" t="str">
        <f aca="false">'AVALIAÇÃO MAPA'!B102</f>
        <v/>
      </c>
      <c r="C102" s="15" t="str">
        <f aca="false">'AVALIAÇÃO MAPA'!AS102</f>
        <v/>
      </c>
      <c r="D102" s="38" t="str">
        <f aca="false">'AVALIAÇÃO MAPA'!AN102</f>
        <v/>
      </c>
      <c r="E102" s="16"/>
      <c r="F102" s="16"/>
      <c r="G102" s="39"/>
      <c r="H102" s="24"/>
      <c r="I102" s="24"/>
      <c r="J102" s="16"/>
      <c r="K102" s="16"/>
      <c r="L102" s="16"/>
      <c r="M102" s="39"/>
      <c r="N102" s="16"/>
      <c r="O102" s="27" t="str">
        <f aca="false">'AVALIAÇÃO MAPA'!BB102</f>
        <v/>
      </c>
      <c r="P102" s="27" t="str">
        <f aca="false">'AVALIAÇÃO MAPA'!AZ102</f>
        <v/>
      </c>
      <c r="Q102" s="27" t="str">
        <f aca="false">'AVALIAÇÃO MAPA'!BA102</f>
        <v/>
      </c>
      <c r="R102" s="38" t="str">
        <f aca="false">IF('AVALIAÇÃO MAPA'!BC102="","",'AVALIAÇÃO MAPA'!BC102/12)</f>
        <v/>
      </c>
      <c r="S102" s="38" t="n">
        <f aca="false">IF(J102&lt;&gt;"",J102,Transicao_Padrao)</f>
        <v>2</v>
      </c>
      <c r="T102" s="27" t="str">
        <f aca="false">IF(O102="","",P102+IF(AND(OR(K102="Receita",K102="Contratação evitada",K102="Horas extras"),L102&lt;&gt;"",M102&lt;&gt;""),Q102,0))</f>
        <v/>
      </c>
      <c r="U102" s="40" t="str">
        <f aca="false">IF(AA102="","",IF(AA102&gt;Limite_Payback,"acima de "&amp;Limite_Payback&amp;" meses",AA102))</f>
        <v/>
      </c>
      <c r="V102" s="40" t="str">
        <f aca="false">IF(AB102="","",IF(AB102&gt;Limite_Payback,"acima de "&amp;Limite_Payback&amp;" meses",AB102))</f>
        <v/>
      </c>
      <c r="W102" s="18" t="str">
        <f aca="false">IF(T102="","",IF(T102&gt;P102,"Inclui efeito em caixa + capacidade com destino financeiro comprovável","Somente efeito em caixa"))</f>
        <v/>
      </c>
      <c r="X102" s="41" t="str">
        <f aca="false">IF(OR(O102="",E102="",E102="Fora"),"",MIN(12,S102)*((O102/12)/2-N(I102))+MAX(0,12-S102)*((O102/12)-N(I102))-N(H102))</f>
        <v/>
      </c>
      <c r="Y102" s="41" t="str">
        <f aca="false">IF(OR(O102="",E102="",E102="Fora"),"",MIN(24,S102)*((O102/12)/2-N(I102))+MAX(0,24-S102)*((O102/12)-N(I102))-N(H102))</f>
        <v/>
      </c>
      <c r="Z102" s="42" t="str">
        <f aca="false">IF(OR(E102="",E102="Fora"),"",IF(AND(E102="Onda 1",'AVALIAÇÃO MAPA'!AP102="SIM"),"Processo com trava na Onda 1. ","")&amp;IF(AND(E102="Onda 1",'AVALIAÇÃO MAPA'!AR102="SIM",AC102&lt;&gt;"P"),"Rota P sem o degrau P na simulação. ","")&amp;IF(AND(AD102=1,SUMIFS($AD$6:$AD$105,$E$6:$E$105,E102)&gt;2),"Mais de 2 projetos de automação nesta onda. ","")&amp;IF(AND(C102="Projeto estratégico",OR(N102="Protótipo",N102="Paralelo"),COUNTIFS($C$6:$C$105,"Projeto estratégico",$N$6:$N$105,"Protótipo")+COUNTIFS($C$6:$C$105,"Projeto estratégico",$N$6:$N$105,"Paralelo")&gt;1),"Mais de 1 projeto estratégico em execução. ","")&amp;IF(AND(N(Q102)&gt;0,OR(K102="",K102="Sem destino")),"Defina o destino das horas liberadas. ",""))</f>
        <v/>
      </c>
      <c r="AA102" s="43" t="str">
        <f aca="false">IF(OR(O102="",H102=""),"",IF(H102=0,0,IF(AND(((O102/12)/2-N(I102))&gt;0,H102&lt;=S102*((O102/12)/2-N(I102))),H102/((O102/12)/2-N(I102)),IF(((O102/12)-N(I102))&lt;=0,999,S102+(H102-S102*((O102/12)/2-N(I102)))/((O102/12)-N(I102))))))</f>
        <v/>
      </c>
      <c r="AB102" s="43" t="str">
        <f aca="false">IF(OR(T102="",H102=""),"",IF(H102=0,0,IF(AND(((T102/12)/2-N(I102))&gt;0,H102&lt;=S102*((T102/12)/2-N(I102))),H102/((T102/12)/2-N(I102)),IF(((T102/12)-N(I102))&lt;=0,999,S102+(H102-S102*((T102/12)/2-N(I102)))/((T102/12)-N(I102))))))</f>
        <v/>
      </c>
      <c r="AC102" s="19" t="str">
        <f aca="false">'AVALIAÇÃO MAPA'!AW102</f>
        <v/>
      </c>
      <c r="AD102" s="19" t="n">
        <f aca="false">IF(OR(AC102="A",AC102="IA"),1,0)</f>
        <v>0</v>
      </c>
    </row>
    <row r="103" customFormat="false" ht="15" hidden="false" customHeight="false" outlineLevel="0" collapsed="false">
      <c r="A103" s="15" t="n">
        <v>98</v>
      </c>
      <c r="B103" s="18" t="str">
        <f aca="false">'AVALIAÇÃO MAPA'!B103</f>
        <v/>
      </c>
      <c r="C103" s="15" t="str">
        <f aca="false">'AVALIAÇÃO MAPA'!AS103</f>
        <v/>
      </c>
      <c r="D103" s="38" t="str">
        <f aca="false">'AVALIAÇÃO MAPA'!AN103</f>
        <v/>
      </c>
      <c r="E103" s="16"/>
      <c r="F103" s="16"/>
      <c r="G103" s="39"/>
      <c r="H103" s="24"/>
      <c r="I103" s="24"/>
      <c r="J103" s="16"/>
      <c r="K103" s="16"/>
      <c r="L103" s="16"/>
      <c r="M103" s="39"/>
      <c r="N103" s="16"/>
      <c r="O103" s="27" t="str">
        <f aca="false">'AVALIAÇÃO MAPA'!BB103</f>
        <v/>
      </c>
      <c r="P103" s="27" t="str">
        <f aca="false">'AVALIAÇÃO MAPA'!AZ103</f>
        <v/>
      </c>
      <c r="Q103" s="27" t="str">
        <f aca="false">'AVALIAÇÃO MAPA'!BA103</f>
        <v/>
      </c>
      <c r="R103" s="38" t="str">
        <f aca="false">IF('AVALIAÇÃO MAPA'!BC103="","",'AVALIAÇÃO MAPA'!BC103/12)</f>
        <v/>
      </c>
      <c r="S103" s="38" t="n">
        <f aca="false">IF(J103&lt;&gt;"",J103,Transicao_Padrao)</f>
        <v>2</v>
      </c>
      <c r="T103" s="27" t="str">
        <f aca="false">IF(O103="","",P103+IF(AND(OR(K103="Receita",K103="Contratação evitada",K103="Horas extras"),L103&lt;&gt;"",M103&lt;&gt;""),Q103,0))</f>
        <v/>
      </c>
      <c r="U103" s="40" t="str">
        <f aca="false">IF(AA103="","",IF(AA103&gt;Limite_Payback,"acima de "&amp;Limite_Payback&amp;" meses",AA103))</f>
        <v/>
      </c>
      <c r="V103" s="40" t="str">
        <f aca="false">IF(AB103="","",IF(AB103&gt;Limite_Payback,"acima de "&amp;Limite_Payback&amp;" meses",AB103))</f>
        <v/>
      </c>
      <c r="W103" s="18" t="str">
        <f aca="false">IF(T103="","",IF(T103&gt;P103,"Inclui efeito em caixa + capacidade com destino financeiro comprovável","Somente efeito em caixa"))</f>
        <v/>
      </c>
      <c r="X103" s="41" t="str">
        <f aca="false">IF(OR(O103="",E103="",E103="Fora"),"",MIN(12,S103)*((O103/12)/2-N(I103))+MAX(0,12-S103)*((O103/12)-N(I103))-N(H103))</f>
        <v/>
      </c>
      <c r="Y103" s="41" t="str">
        <f aca="false">IF(OR(O103="",E103="",E103="Fora"),"",MIN(24,S103)*((O103/12)/2-N(I103))+MAX(0,24-S103)*((O103/12)-N(I103))-N(H103))</f>
        <v/>
      </c>
      <c r="Z103" s="42" t="str">
        <f aca="false">IF(OR(E103="",E103="Fora"),"",IF(AND(E103="Onda 1",'AVALIAÇÃO MAPA'!AP103="SIM"),"Processo com trava na Onda 1. ","")&amp;IF(AND(E103="Onda 1",'AVALIAÇÃO MAPA'!AR103="SIM",AC103&lt;&gt;"P"),"Rota P sem o degrau P na simulação. ","")&amp;IF(AND(AD103=1,SUMIFS($AD$6:$AD$105,$E$6:$E$105,E103)&gt;2),"Mais de 2 projetos de automação nesta onda. ","")&amp;IF(AND(C103="Projeto estratégico",OR(N103="Protótipo",N103="Paralelo"),COUNTIFS($C$6:$C$105,"Projeto estratégico",$N$6:$N$105,"Protótipo")+COUNTIFS($C$6:$C$105,"Projeto estratégico",$N$6:$N$105,"Paralelo")&gt;1),"Mais de 1 projeto estratégico em execução. ","")&amp;IF(AND(N(Q103)&gt;0,OR(K103="",K103="Sem destino")),"Defina o destino das horas liberadas. ",""))</f>
        <v/>
      </c>
      <c r="AA103" s="43" t="str">
        <f aca="false">IF(OR(O103="",H103=""),"",IF(H103=0,0,IF(AND(((O103/12)/2-N(I103))&gt;0,H103&lt;=S103*((O103/12)/2-N(I103))),H103/((O103/12)/2-N(I103)),IF(((O103/12)-N(I103))&lt;=0,999,S103+(H103-S103*((O103/12)/2-N(I103)))/((O103/12)-N(I103))))))</f>
        <v/>
      </c>
      <c r="AB103" s="43" t="str">
        <f aca="false">IF(OR(T103="",H103=""),"",IF(H103=0,0,IF(AND(((T103/12)/2-N(I103))&gt;0,H103&lt;=S103*((T103/12)/2-N(I103))),H103/((T103/12)/2-N(I103)),IF(((T103/12)-N(I103))&lt;=0,999,S103+(H103-S103*((T103/12)/2-N(I103)))/((T103/12)-N(I103))))))</f>
        <v/>
      </c>
      <c r="AC103" s="19" t="str">
        <f aca="false">'AVALIAÇÃO MAPA'!AW103</f>
        <v/>
      </c>
      <c r="AD103" s="19" t="n">
        <f aca="false">IF(OR(AC103="A",AC103="IA"),1,0)</f>
        <v>0</v>
      </c>
    </row>
    <row r="104" customFormat="false" ht="15" hidden="false" customHeight="false" outlineLevel="0" collapsed="false">
      <c r="A104" s="15" t="n">
        <v>99</v>
      </c>
      <c r="B104" s="18" t="str">
        <f aca="false">'AVALIAÇÃO MAPA'!B104</f>
        <v/>
      </c>
      <c r="C104" s="15" t="str">
        <f aca="false">'AVALIAÇÃO MAPA'!AS104</f>
        <v/>
      </c>
      <c r="D104" s="38" t="str">
        <f aca="false">'AVALIAÇÃO MAPA'!AN104</f>
        <v/>
      </c>
      <c r="E104" s="16"/>
      <c r="F104" s="16"/>
      <c r="G104" s="39"/>
      <c r="H104" s="24"/>
      <c r="I104" s="24"/>
      <c r="J104" s="16"/>
      <c r="K104" s="16"/>
      <c r="L104" s="16"/>
      <c r="M104" s="39"/>
      <c r="N104" s="16"/>
      <c r="O104" s="27" t="str">
        <f aca="false">'AVALIAÇÃO MAPA'!BB104</f>
        <v/>
      </c>
      <c r="P104" s="27" t="str">
        <f aca="false">'AVALIAÇÃO MAPA'!AZ104</f>
        <v/>
      </c>
      <c r="Q104" s="27" t="str">
        <f aca="false">'AVALIAÇÃO MAPA'!BA104</f>
        <v/>
      </c>
      <c r="R104" s="38" t="str">
        <f aca="false">IF('AVALIAÇÃO MAPA'!BC104="","",'AVALIAÇÃO MAPA'!BC104/12)</f>
        <v/>
      </c>
      <c r="S104" s="38" t="n">
        <f aca="false">IF(J104&lt;&gt;"",J104,Transicao_Padrao)</f>
        <v>2</v>
      </c>
      <c r="T104" s="27" t="str">
        <f aca="false">IF(O104="","",P104+IF(AND(OR(K104="Receita",K104="Contratação evitada",K104="Horas extras"),L104&lt;&gt;"",M104&lt;&gt;""),Q104,0))</f>
        <v/>
      </c>
      <c r="U104" s="40" t="str">
        <f aca="false">IF(AA104="","",IF(AA104&gt;Limite_Payback,"acima de "&amp;Limite_Payback&amp;" meses",AA104))</f>
        <v/>
      </c>
      <c r="V104" s="40" t="str">
        <f aca="false">IF(AB104="","",IF(AB104&gt;Limite_Payback,"acima de "&amp;Limite_Payback&amp;" meses",AB104))</f>
        <v/>
      </c>
      <c r="W104" s="18" t="str">
        <f aca="false">IF(T104="","",IF(T104&gt;P104,"Inclui efeito em caixa + capacidade com destino financeiro comprovável","Somente efeito em caixa"))</f>
        <v/>
      </c>
      <c r="X104" s="41" t="str">
        <f aca="false">IF(OR(O104="",E104="",E104="Fora"),"",MIN(12,S104)*((O104/12)/2-N(I104))+MAX(0,12-S104)*((O104/12)-N(I104))-N(H104))</f>
        <v/>
      </c>
      <c r="Y104" s="41" t="str">
        <f aca="false">IF(OR(O104="",E104="",E104="Fora"),"",MIN(24,S104)*((O104/12)/2-N(I104))+MAX(0,24-S104)*((O104/12)-N(I104))-N(H104))</f>
        <v/>
      </c>
      <c r="Z104" s="42" t="str">
        <f aca="false">IF(OR(E104="",E104="Fora"),"",IF(AND(E104="Onda 1",'AVALIAÇÃO MAPA'!AP104="SIM"),"Processo com trava na Onda 1. ","")&amp;IF(AND(E104="Onda 1",'AVALIAÇÃO MAPA'!AR104="SIM",AC104&lt;&gt;"P"),"Rota P sem o degrau P na simulação. ","")&amp;IF(AND(AD104=1,SUMIFS($AD$6:$AD$105,$E$6:$E$105,E104)&gt;2),"Mais de 2 projetos de automação nesta onda. ","")&amp;IF(AND(C104="Projeto estratégico",OR(N104="Protótipo",N104="Paralelo"),COUNTIFS($C$6:$C$105,"Projeto estratégico",$N$6:$N$105,"Protótipo")+COUNTIFS($C$6:$C$105,"Projeto estratégico",$N$6:$N$105,"Paralelo")&gt;1),"Mais de 1 projeto estratégico em execução. ","")&amp;IF(AND(N(Q104)&gt;0,OR(K104="",K104="Sem destino")),"Defina o destino das horas liberadas. ",""))</f>
        <v/>
      </c>
      <c r="AA104" s="43" t="str">
        <f aca="false">IF(OR(O104="",H104=""),"",IF(H104=0,0,IF(AND(((O104/12)/2-N(I104))&gt;0,H104&lt;=S104*((O104/12)/2-N(I104))),H104/((O104/12)/2-N(I104)),IF(((O104/12)-N(I104))&lt;=0,999,S104+(H104-S104*((O104/12)/2-N(I104)))/((O104/12)-N(I104))))))</f>
        <v/>
      </c>
      <c r="AB104" s="43" t="str">
        <f aca="false">IF(OR(T104="",H104=""),"",IF(H104=0,0,IF(AND(((T104/12)/2-N(I104))&gt;0,H104&lt;=S104*((T104/12)/2-N(I104))),H104/((T104/12)/2-N(I104)),IF(((T104/12)-N(I104))&lt;=0,999,S104+(H104-S104*((T104/12)/2-N(I104)))/((T104/12)-N(I104))))))</f>
        <v/>
      </c>
      <c r="AC104" s="19" t="str">
        <f aca="false">'AVALIAÇÃO MAPA'!AW104</f>
        <v/>
      </c>
      <c r="AD104" s="19" t="n">
        <f aca="false">IF(OR(AC104="A",AC104="IA"),1,0)</f>
        <v>0</v>
      </c>
    </row>
    <row r="105" customFormat="false" ht="15" hidden="false" customHeight="false" outlineLevel="0" collapsed="false">
      <c r="A105" s="15" t="n">
        <v>100</v>
      </c>
      <c r="B105" s="18" t="str">
        <f aca="false">'AVALIAÇÃO MAPA'!B105</f>
        <v/>
      </c>
      <c r="C105" s="15" t="str">
        <f aca="false">'AVALIAÇÃO MAPA'!AS105</f>
        <v/>
      </c>
      <c r="D105" s="38" t="str">
        <f aca="false">'AVALIAÇÃO MAPA'!AN105</f>
        <v/>
      </c>
      <c r="E105" s="16"/>
      <c r="F105" s="16"/>
      <c r="G105" s="39"/>
      <c r="H105" s="24"/>
      <c r="I105" s="24"/>
      <c r="J105" s="16"/>
      <c r="K105" s="16"/>
      <c r="L105" s="16"/>
      <c r="M105" s="39"/>
      <c r="N105" s="16"/>
      <c r="O105" s="27" t="str">
        <f aca="false">'AVALIAÇÃO MAPA'!BB105</f>
        <v/>
      </c>
      <c r="P105" s="27" t="str">
        <f aca="false">'AVALIAÇÃO MAPA'!AZ105</f>
        <v/>
      </c>
      <c r="Q105" s="27" t="str">
        <f aca="false">'AVALIAÇÃO MAPA'!BA105</f>
        <v/>
      </c>
      <c r="R105" s="38" t="str">
        <f aca="false">IF('AVALIAÇÃO MAPA'!BC105="","",'AVALIAÇÃO MAPA'!BC105/12)</f>
        <v/>
      </c>
      <c r="S105" s="38" t="n">
        <f aca="false">IF(J105&lt;&gt;"",J105,Transicao_Padrao)</f>
        <v>2</v>
      </c>
      <c r="T105" s="27" t="str">
        <f aca="false">IF(O105="","",P105+IF(AND(OR(K105="Receita",K105="Contratação evitada",K105="Horas extras"),L105&lt;&gt;"",M105&lt;&gt;""),Q105,0))</f>
        <v/>
      </c>
      <c r="U105" s="40" t="str">
        <f aca="false">IF(AA105="","",IF(AA105&gt;Limite_Payback,"acima de "&amp;Limite_Payback&amp;" meses",AA105))</f>
        <v/>
      </c>
      <c r="V105" s="40" t="str">
        <f aca="false">IF(AB105="","",IF(AB105&gt;Limite_Payback,"acima de "&amp;Limite_Payback&amp;" meses",AB105))</f>
        <v/>
      </c>
      <c r="W105" s="18" t="str">
        <f aca="false">IF(T105="","",IF(T105&gt;P105,"Inclui efeito em caixa + capacidade com destino financeiro comprovável","Somente efeito em caixa"))</f>
        <v/>
      </c>
      <c r="X105" s="41" t="str">
        <f aca="false">IF(OR(O105="",E105="",E105="Fora"),"",MIN(12,S105)*((O105/12)/2-N(I105))+MAX(0,12-S105)*((O105/12)-N(I105))-N(H105))</f>
        <v/>
      </c>
      <c r="Y105" s="41" t="str">
        <f aca="false">IF(OR(O105="",E105="",E105="Fora"),"",MIN(24,S105)*((O105/12)/2-N(I105))+MAX(0,24-S105)*((O105/12)-N(I105))-N(H105))</f>
        <v/>
      </c>
      <c r="Z105" s="42" t="str">
        <f aca="false">IF(OR(E105="",E105="Fora"),"",IF(AND(E105="Onda 1",'AVALIAÇÃO MAPA'!AP105="SIM"),"Processo com trava na Onda 1. ","")&amp;IF(AND(E105="Onda 1",'AVALIAÇÃO MAPA'!AR105="SIM",AC105&lt;&gt;"P"),"Rota P sem o degrau P na simulação. ","")&amp;IF(AND(AD105=1,SUMIFS($AD$6:$AD$105,$E$6:$E$105,E105)&gt;2),"Mais de 2 projetos de automação nesta onda. ","")&amp;IF(AND(C105="Projeto estratégico",OR(N105="Protótipo",N105="Paralelo"),COUNTIFS($C$6:$C$105,"Projeto estratégico",$N$6:$N$105,"Protótipo")+COUNTIFS($C$6:$C$105,"Projeto estratégico",$N$6:$N$105,"Paralelo")&gt;1),"Mais de 1 projeto estratégico em execução. ","")&amp;IF(AND(N(Q105)&gt;0,OR(K105="",K105="Sem destino")),"Defina o destino das horas liberadas. ",""))</f>
        <v/>
      </c>
      <c r="AA105" s="43" t="str">
        <f aca="false">IF(OR(O105="",H105=""),"",IF(H105=0,0,IF(AND(((O105/12)/2-N(I105))&gt;0,H105&lt;=S105*((O105/12)/2-N(I105))),H105/((O105/12)/2-N(I105)),IF(((O105/12)-N(I105))&lt;=0,999,S105+(H105-S105*((O105/12)/2-N(I105)))/((O105/12)-N(I105))))))</f>
        <v/>
      </c>
      <c r="AB105" s="43" t="str">
        <f aca="false">IF(OR(T105="",H105=""),"",IF(H105=0,0,IF(AND(((T105/12)/2-N(I105))&gt;0,H105&lt;=S105*((T105/12)/2-N(I105))),H105/((T105/12)/2-N(I105)),IF(((T105/12)-N(I105))&lt;=0,999,S105+(H105-S105*((T105/12)/2-N(I105)))/((T105/12)-N(I105))))))</f>
        <v/>
      </c>
      <c r="AC105" s="19" t="str">
        <f aca="false">'AVALIAÇÃO MAPA'!AW105</f>
        <v/>
      </c>
      <c r="AD105" s="19" t="n">
        <f aca="false">IF(OR(AC105="A",AC105="IA"),1,0)</f>
        <v>0</v>
      </c>
    </row>
  </sheetData>
  <sheetProtection sheet="true" formatColumns="false" formatRows="false" sort="false" autoFilter="false"/>
  <autoFilter ref="A5:AD105"/>
  <mergeCells count="2">
    <mergeCell ref="E4:N4"/>
    <mergeCell ref="O4:Z4"/>
  </mergeCells>
  <dataValidations count="3">
    <dataValidation allowBlank="true" errorStyle="stop" operator="between" showDropDown="false" showErrorMessage="true" showInputMessage="false" sqref="E6:E105" type="list">
      <formula1>L_Ondas</formula1>
      <formula2>0</formula2>
    </dataValidation>
    <dataValidation allowBlank="true" errorStyle="stop" operator="between" prompt="Receita, Contratação evitada ou Horas extras contam como benefício capturado, com responsável e data" promptTitle="Método MAPA" showDropDown="false" showErrorMessage="true" showInputMessage="true" sqref="K6:K105" type="list">
      <formula1>L_Destino</formula1>
      <formula2>0</formula2>
    </dataValidation>
    <dataValidation allowBlank="true" errorStyle="stop" operator="between" showDropDown="false" showErrorMessage="true" showInputMessage="false" sqref="N6:N105" type="list">
      <formula1>L_StatusProj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6"/>
    <col collapsed="false" customWidth="true" hidden="false" outlineLevel="0" max="5" min="5" style="0" width="70"/>
  </cols>
  <sheetData>
    <row r="1" customFormat="false" ht="19.7" hidden="false" customHeight="false" outlineLevel="0" collapsed="false">
      <c r="A1" s="12" t="s">
        <v>364</v>
      </c>
    </row>
    <row r="2" customFormat="false" ht="15" hidden="false" customHeight="false" outlineLevel="0" collapsed="false">
      <c r="A2" s="2" t="s">
        <v>365</v>
      </c>
    </row>
    <row r="4" customFormat="false" ht="15" hidden="false" customHeight="false" outlineLevel="0" collapsed="false">
      <c r="A4" s="4" t="s">
        <v>366</v>
      </c>
    </row>
    <row r="5" customFormat="false" ht="15" hidden="false" customHeight="false" outlineLevel="0" collapsed="false">
      <c r="A5" s="33" t="s">
        <v>367</v>
      </c>
      <c r="B5" s="33" t="s">
        <v>368</v>
      </c>
      <c r="C5" s="33" t="s">
        <v>369</v>
      </c>
      <c r="D5" s="33" t="s">
        <v>370</v>
      </c>
      <c r="E5" s="33" t="s">
        <v>371</v>
      </c>
    </row>
    <row r="6" customFormat="false" ht="15" hidden="false" customHeight="false" outlineLevel="0" collapsed="false">
      <c r="A6" s="6" t="s">
        <v>372</v>
      </c>
      <c r="B6" s="46" t="n">
        <v>10000</v>
      </c>
      <c r="C6" s="47" t="n">
        <v>10000</v>
      </c>
      <c r="D6" s="48" t="str">
        <f aca="false">IF(B6=C6,"","ALTERADO")</f>
        <v/>
      </c>
      <c r="E6" s="32" t="s">
        <v>373</v>
      </c>
    </row>
    <row r="7" customFormat="false" ht="15" hidden="false" customHeight="false" outlineLevel="0" collapsed="false">
      <c r="A7" s="6" t="s">
        <v>374</v>
      </c>
      <c r="B7" s="46" t="n">
        <v>25000</v>
      </c>
      <c r="C7" s="47" t="n">
        <v>25000</v>
      </c>
      <c r="D7" s="48" t="str">
        <f aca="false">IF(B7=C7,"","ALTERADO")</f>
        <v/>
      </c>
      <c r="E7" s="32"/>
    </row>
    <row r="8" customFormat="false" ht="15" hidden="false" customHeight="false" outlineLevel="0" collapsed="false">
      <c r="A8" s="6" t="s">
        <v>375</v>
      </c>
      <c r="B8" s="46" t="n">
        <v>50000</v>
      </c>
      <c r="C8" s="47" t="n">
        <v>50000</v>
      </c>
      <c r="D8" s="48" t="str">
        <f aca="false">IF(B8=C8,"","ALTERADO")</f>
        <v/>
      </c>
      <c r="E8" s="32"/>
    </row>
    <row r="9" customFormat="false" ht="15" hidden="false" customHeight="false" outlineLevel="0" collapsed="false">
      <c r="A9" s="6" t="s">
        <v>376</v>
      </c>
      <c r="B9" s="46" t="n">
        <v>100000</v>
      </c>
      <c r="C9" s="47" t="n">
        <v>100000</v>
      </c>
      <c r="D9" s="48" t="str">
        <f aca="false">IF(B9=C9,"","ALTERADO")</f>
        <v/>
      </c>
      <c r="E9" s="32" t="s">
        <v>377</v>
      </c>
    </row>
    <row r="10" customFormat="false" ht="15" hidden="false" customHeight="false" outlineLevel="0" collapsed="false">
      <c r="A10" s="6" t="s">
        <v>378</v>
      </c>
      <c r="B10" s="49" t="n">
        <v>1.8</v>
      </c>
      <c r="C10" s="50" t="n">
        <v>1.8</v>
      </c>
      <c r="D10" s="48" t="str">
        <f aca="false">IF(B10=C10,"","ALTERADO")</f>
        <v/>
      </c>
      <c r="E10" s="32" t="s">
        <v>379</v>
      </c>
    </row>
    <row r="11" customFormat="false" ht="15" hidden="false" customHeight="false" outlineLevel="0" collapsed="false">
      <c r="A11" s="6" t="s">
        <v>380</v>
      </c>
      <c r="B11" s="51" t="n">
        <v>160</v>
      </c>
      <c r="C11" s="52" t="n">
        <v>160</v>
      </c>
      <c r="D11" s="48" t="str">
        <f aca="false">IF(B11=C11,"","ALTERADO")</f>
        <v/>
      </c>
      <c r="E11" s="32"/>
    </row>
    <row r="12" customFormat="false" ht="15" hidden="false" customHeight="false" outlineLevel="0" collapsed="false">
      <c r="A12" s="6" t="s">
        <v>381</v>
      </c>
      <c r="B12" s="53"/>
      <c r="C12" s="54"/>
      <c r="D12" s="48" t="str">
        <f aca="false">IF(B12=C12,"","ALTERADO")</f>
        <v/>
      </c>
      <c r="E12" s="32" t="s">
        <v>382</v>
      </c>
    </row>
    <row r="13" customFormat="false" ht="15" hidden="false" customHeight="false" outlineLevel="0" collapsed="false">
      <c r="A13" s="6" t="s">
        <v>383</v>
      </c>
      <c r="B13" s="55" t="n">
        <v>0.35</v>
      </c>
      <c r="C13" s="56" t="n">
        <v>0.35</v>
      </c>
      <c r="D13" s="48" t="str">
        <f aca="false">IF(B13=C13,"","ALTERADO")</f>
        <v/>
      </c>
      <c r="E13" s="32" t="s">
        <v>384</v>
      </c>
    </row>
    <row r="14" customFormat="false" ht="15" hidden="false" customHeight="false" outlineLevel="0" collapsed="false">
      <c r="A14" s="6" t="s">
        <v>385</v>
      </c>
      <c r="B14" s="55" t="n">
        <v>0.2</v>
      </c>
      <c r="C14" s="56" t="n">
        <v>0.2</v>
      </c>
      <c r="D14" s="48" t="str">
        <f aca="false">IF(B14=C14,"","ALTERADO")</f>
        <v/>
      </c>
      <c r="E14" s="32" t="s">
        <v>386</v>
      </c>
    </row>
    <row r="15" customFormat="false" ht="15" hidden="false" customHeight="false" outlineLevel="0" collapsed="false">
      <c r="A15" s="6" t="s">
        <v>387</v>
      </c>
      <c r="B15" s="55" t="n">
        <v>0.75</v>
      </c>
      <c r="C15" s="56" t="n">
        <v>0.75</v>
      </c>
      <c r="D15" s="48" t="str">
        <f aca="false">IF(B15=C15,"","ALTERADO")</f>
        <v/>
      </c>
      <c r="E15" s="32" t="s">
        <v>388</v>
      </c>
    </row>
    <row r="16" customFormat="false" ht="15" hidden="false" customHeight="false" outlineLevel="0" collapsed="false">
      <c r="A16" s="6" t="s">
        <v>389</v>
      </c>
      <c r="B16" s="55" t="n">
        <v>0.55</v>
      </c>
      <c r="C16" s="56" t="n">
        <v>0.55</v>
      </c>
      <c r="D16" s="48" t="str">
        <f aca="false">IF(B16=C16,"","ALTERADO")</f>
        <v/>
      </c>
      <c r="E16" s="32" t="s">
        <v>390</v>
      </c>
    </row>
    <row r="17" customFormat="false" ht="15" hidden="false" customHeight="false" outlineLevel="0" collapsed="false">
      <c r="A17" s="6" t="s">
        <v>391</v>
      </c>
      <c r="B17" s="51" t="n">
        <v>2</v>
      </c>
      <c r="C17" s="52" t="n">
        <v>2</v>
      </c>
      <c r="D17" s="48" t="str">
        <f aca="false">IF(B17=C17,"","ALTERADO")</f>
        <v/>
      </c>
      <c r="E17" s="32" t="s">
        <v>392</v>
      </c>
    </row>
    <row r="18" customFormat="false" ht="15" hidden="false" customHeight="false" outlineLevel="0" collapsed="false">
      <c r="A18" s="6" t="s">
        <v>393</v>
      </c>
      <c r="B18" s="51" t="n">
        <v>36</v>
      </c>
      <c r="C18" s="52" t="n">
        <v>36</v>
      </c>
      <c r="D18" s="48" t="str">
        <f aca="false">IF(B18=C18,"","ALTERADO")</f>
        <v/>
      </c>
      <c r="E18" s="32" t="s">
        <v>394</v>
      </c>
    </row>
    <row r="20" customFormat="false" ht="15" hidden="false" customHeight="false" outlineLevel="0" collapsed="false">
      <c r="A20" s="4" t="s">
        <v>395</v>
      </c>
    </row>
    <row r="21" customFormat="false" ht="15" hidden="false" customHeight="false" outlineLevel="0" collapsed="false">
      <c r="A21" s="6" t="s">
        <v>396</v>
      </c>
      <c r="B21" s="57" t="n">
        <v>0.6</v>
      </c>
    </row>
    <row r="22" customFormat="false" ht="15" hidden="false" customHeight="false" outlineLevel="0" collapsed="false">
      <c r="A22" s="6" t="s">
        <v>397</v>
      </c>
      <c r="B22" s="57" t="n">
        <v>0.4</v>
      </c>
    </row>
    <row r="23" customFormat="false" ht="15" hidden="false" customHeight="false" outlineLevel="0" collapsed="false">
      <c r="A23" s="6" t="s">
        <v>398</v>
      </c>
      <c r="B23" s="57" t="n">
        <v>0.4</v>
      </c>
    </row>
    <row r="24" customFormat="false" ht="15" hidden="false" customHeight="false" outlineLevel="0" collapsed="false">
      <c r="A24" s="6" t="s">
        <v>399</v>
      </c>
      <c r="B24" s="57" t="n">
        <v>0.25</v>
      </c>
    </row>
    <row r="25" customFormat="false" ht="15" hidden="false" customHeight="false" outlineLevel="0" collapsed="false">
      <c r="A25" s="6" t="s">
        <v>400</v>
      </c>
      <c r="B25" s="57" t="n">
        <v>0.2</v>
      </c>
    </row>
    <row r="26" customFormat="false" ht="15" hidden="false" customHeight="false" outlineLevel="0" collapsed="false">
      <c r="A26" s="6" t="s">
        <v>401</v>
      </c>
      <c r="B26" s="57" t="n">
        <v>0.15</v>
      </c>
    </row>
    <row r="27" customFormat="false" ht="15" hidden="false" customHeight="false" outlineLevel="0" collapsed="false">
      <c r="A27" s="6" t="s">
        <v>402</v>
      </c>
      <c r="B27" s="57" t="n">
        <v>0.5</v>
      </c>
    </row>
    <row r="28" customFormat="false" ht="15" hidden="false" customHeight="false" outlineLevel="0" collapsed="false">
      <c r="A28" s="6" t="s">
        <v>403</v>
      </c>
      <c r="B28" s="58" t="n">
        <v>0.4</v>
      </c>
    </row>
    <row r="29" customFormat="false" ht="15" hidden="false" customHeight="false" outlineLevel="0" collapsed="false">
      <c r="A29" s="6" t="s">
        <v>404</v>
      </c>
      <c r="B29" s="58" t="n">
        <v>0.6</v>
      </c>
    </row>
    <row r="30" customFormat="false" ht="15" hidden="false" customHeight="false" outlineLevel="0" collapsed="false">
      <c r="A30" s="6" t="s">
        <v>405</v>
      </c>
      <c r="B30" s="57" t="n">
        <v>0.5</v>
      </c>
    </row>
    <row r="31" customFormat="false" ht="15" hidden="false" customHeight="false" outlineLevel="0" collapsed="false">
      <c r="A31" s="6" t="s">
        <v>406</v>
      </c>
      <c r="B31" s="57" t="n">
        <v>0.45</v>
      </c>
    </row>
    <row r="32" customFormat="false" ht="15" hidden="false" customHeight="false" outlineLevel="0" collapsed="false">
      <c r="A32" s="6" t="s">
        <v>407</v>
      </c>
      <c r="B32" s="57" t="n">
        <v>0.55</v>
      </c>
    </row>
    <row r="33" customFormat="false" ht="15" hidden="false" customHeight="false" outlineLevel="0" collapsed="false">
      <c r="A33" s="6" t="s">
        <v>408</v>
      </c>
      <c r="B33" s="59" t="n">
        <v>5</v>
      </c>
    </row>
    <row r="34" customFormat="false" ht="15" hidden="false" customHeight="false" outlineLevel="0" collapsed="false">
      <c r="A34" s="6" t="s">
        <v>409</v>
      </c>
      <c r="B34" s="59" t="n">
        <v>2</v>
      </c>
    </row>
    <row r="35" customFormat="false" ht="15" hidden="false" customHeight="false" outlineLevel="0" collapsed="false">
      <c r="A35" s="6" t="s">
        <v>410</v>
      </c>
      <c r="B35" s="59" t="n">
        <v>21</v>
      </c>
    </row>
    <row r="36" customFormat="false" ht="15" hidden="false" customHeight="false" outlineLevel="0" collapsed="false">
      <c r="A36" s="6" t="s">
        <v>411</v>
      </c>
      <c r="B36" s="57" t="n">
        <v>4.33</v>
      </c>
    </row>
    <row r="37" customFormat="false" ht="15" hidden="false" customHeight="false" outlineLevel="0" collapsed="false">
      <c r="A37" s="6" t="s">
        <v>412</v>
      </c>
      <c r="B37" s="58" t="n">
        <v>1.5</v>
      </c>
    </row>
    <row r="38" customFormat="false" ht="15" hidden="false" customHeight="false" outlineLevel="0" collapsed="false">
      <c r="A38" s="6" t="s">
        <v>413</v>
      </c>
      <c r="B38" s="59" t="n">
        <v>4</v>
      </c>
    </row>
    <row r="39" customFormat="false" ht="15" hidden="false" customHeight="false" outlineLevel="0" collapsed="false">
      <c r="A39" s="6" t="s">
        <v>414</v>
      </c>
      <c r="B39" s="59" t="n">
        <v>3</v>
      </c>
    </row>
    <row r="40" customFormat="false" ht="15" hidden="false" customHeight="false" outlineLevel="0" collapsed="false">
      <c r="A40" s="6" t="s">
        <v>415</v>
      </c>
      <c r="B40" s="59" t="n">
        <v>2</v>
      </c>
    </row>
    <row r="42" customFormat="false" ht="15" hidden="false" customHeight="false" outlineLevel="0" collapsed="false">
      <c r="A42" s="4" t="s">
        <v>416</v>
      </c>
    </row>
    <row r="43" customFormat="false" ht="15" hidden="false" customHeight="false" outlineLevel="0" collapsed="false">
      <c r="A43" s="6" t="s">
        <v>417</v>
      </c>
      <c r="B43" s="46"/>
    </row>
    <row r="44" customFormat="false" ht="15" hidden="false" customHeight="false" outlineLevel="0" collapsed="false">
      <c r="A44" s="6" t="s">
        <v>418</v>
      </c>
      <c r="B44" s="60" t="str">
        <f aca="false">IF(B43="","",B43*Fator_Encargos/Horas_Produtivas)</f>
        <v/>
      </c>
    </row>
    <row r="45" customFormat="false" ht="15" hidden="false" customHeight="false" outlineLevel="0" collapsed="false">
      <c r="A45" s="32" t="s">
        <v>419</v>
      </c>
    </row>
    <row r="47" customFormat="false" ht="15" hidden="false" customHeight="false" outlineLevel="0" collapsed="false">
      <c r="A47" s="4" t="s">
        <v>420</v>
      </c>
    </row>
    <row r="48" customFormat="false" ht="15" hidden="false" customHeight="false" outlineLevel="0" collapsed="false">
      <c r="A48" s="32" t="s">
        <v>421</v>
      </c>
      <c r="B48" s="32" t="s">
        <v>422</v>
      </c>
      <c r="C48" s="32" t="s">
        <v>423</v>
      </c>
      <c r="D48" s="32" t="s">
        <v>424</v>
      </c>
      <c r="E48" s="32" t="s">
        <v>425</v>
      </c>
    </row>
    <row r="49" customFormat="false" ht="15" hidden="false" customHeight="false" outlineLevel="0" collapsed="false">
      <c r="A49" s="6" t="s">
        <v>27</v>
      </c>
      <c r="B49" s="6" t="s">
        <v>45</v>
      </c>
      <c r="C49" s="6" t="s">
        <v>106</v>
      </c>
      <c r="D49" s="6" t="s">
        <v>426</v>
      </c>
      <c r="E49" s="6" t="s">
        <v>427</v>
      </c>
    </row>
    <row r="50" customFormat="false" ht="15" hidden="false" customHeight="false" outlineLevel="0" collapsed="false">
      <c r="A50" s="6" t="s">
        <v>29</v>
      </c>
      <c r="B50" s="6" t="s">
        <v>47</v>
      </c>
      <c r="C50" s="6" t="s">
        <v>110</v>
      </c>
      <c r="D50" s="6" t="s">
        <v>428</v>
      </c>
      <c r="E50" s="6" t="s">
        <v>429</v>
      </c>
    </row>
    <row r="51" customFormat="false" ht="15" hidden="false" customHeight="false" outlineLevel="0" collapsed="false">
      <c r="A51" s="6" t="s">
        <v>31</v>
      </c>
      <c r="B51" s="6" t="s">
        <v>49</v>
      </c>
      <c r="C51" s="6" t="s">
        <v>88</v>
      </c>
      <c r="D51" s="6" t="s">
        <v>430</v>
      </c>
      <c r="E51" s="6" t="s">
        <v>431</v>
      </c>
    </row>
    <row r="52" customFormat="false" ht="15" hidden="false" customHeight="false" outlineLevel="0" collapsed="false">
      <c r="A52" s="6" t="s">
        <v>33</v>
      </c>
      <c r="B52" s="6" t="s">
        <v>51</v>
      </c>
      <c r="C52" s="6" t="s">
        <v>99</v>
      </c>
    </row>
    <row r="53" customFormat="false" ht="15" hidden="false" customHeight="false" outlineLevel="0" collapsed="false">
      <c r="A53" s="6" t="s">
        <v>35</v>
      </c>
      <c r="B53" s="6" t="s">
        <v>52</v>
      </c>
      <c r="C53" s="6" t="s">
        <v>130</v>
      </c>
    </row>
    <row r="54" customFormat="false" ht="15" hidden="false" customHeight="false" outlineLevel="0" collapsed="false">
      <c r="A54" s="6" t="s">
        <v>37</v>
      </c>
      <c r="C54" s="6" t="s">
        <v>126</v>
      </c>
    </row>
    <row r="55" customFormat="false" ht="15" hidden="false" customHeight="false" outlineLevel="0" collapsed="false">
      <c r="A55" s="6" t="s">
        <v>39</v>
      </c>
      <c r="C55" s="6" t="s">
        <v>122</v>
      </c>
    </row>
    <row r="56" customFormat="false" ht="15" hidden="false" customHeight="false" outlineLevel="0" collapsed="false">
      <c r="C56" s="6" t="s">
        <v>432</v>
      </c>
    </row>
    <row r="57" customFormat="false" ht="15" hidden="false" customHeight="false" outlineLevel="0" collapsed="false">
      <c r="C57" s="6" t="s">
        <v>157</v>
      </c>
    </row>
    <row r="58" customFormat="false" ht="15" hidden="false" customHeight="false" outlineLevel="0" collapsed="false">
      <c r="C58" s="6" t="s">
        <v>137</v>
      </c>
    </row>
    <row r="59" customFormat="false" ht="15" hidden="false" customHeight="false" outlineLevel="0" collapsed="false">
      <c r="C59" s="6" t="s">
        <v>114</v>
      </c>
    </row>
    <row r="60" customFormat="false" ht="15" hidden="false" customHeight="false" outlineLevel="0" collapsed="false">
      <c r="C60" s="6" t="s">
        <v>118</v>
      </c>
    </row>
    <row r="61" customFormat="false" ht="15" hidden="false" customHeight="false" outlineLevel="0" collapsed="false">
      <c r="C61" s="6" t="s">
        <v>93</v>
      </c>
    </row>
    <row r="62" customFormat="false" ht="15" hidden="false" customHeight="false" outlineLevel="0" collapsed="false">
      <c r="C62" s="6" t="s">
        <v>433</v>
      </c>
    </row>
    <row r="64" customFormat="false" ht="15" hidden="false" customHeight="false" outlineLevel="0" collapsed="false">
      <c r="A64" s="32" t="s">
        <v>434</v>
      </c>
      <c r="B64" s="32" t="s">
        <v>435</v>
      </c>
      <c r="C64" s="32" t="s">
        <v>436</v>
      </c>
      <c r="D64" s="32" t="s">
        <v>437</v>
      </c>
      <c r="E64" s="32" t="s">
        <v>438</v>
      </c>
    </row>
    <row r="65" customFormat="false" ht="15" hidden="false" customHeight="false" outlineLevel="0" collapsed="false">
      <c r="A65" s="61" t="n">
        <v>0</v>
      </c>
      <c r="B65" s="6" t="s">
        <v>360</v>
      </c>
      <c r="C65" s="6" t="s">
        <v>439</v>
      </c>
      <c r="D65" s="6" t="s">
        <v>440</v>
      </c>
      <c r="E65" s="6" t="n">
        <v>1</v>
      </c>
    </row>
    <row r="66" customFormat="false" ht="15" hidden="false" customHeight="false" outlineLevel="0" collapsed="false">
      <c r="A66" s="61" t="n">
        <v>0.05</v>
      </c>
      <c r="B66" s="6" t="s">
        <v>361</v>
      </c>
      <c r="C66" s="6" t="s">
        <v>441</v>
      </c>
      <c r="D66" s="6" t="s">
        <v>442</v>
      </c>
      <c r="E66" s="6" t="n">
        <v>2</v>
      </c>
    </row>
    <row r="67" customFormat="false" ht="15" hidden="false" customHeight="false" outlineLevel="0" collapsed="false">
      <c r="A67" s="61" t="n">
        <v>0.15</v>
      </c>
      <c r="B67" s="6" t="s">
        <v>362</v>
      </c>
      <c r="C67" s="6" t="s">
        <v>443</v>
      </c>
      <c r="D67" s="6" t="s">
        <v>444</v>
      </c>
      <c r="E67" s="6" t="n">
        <v>3</v>
      </c>
    </row>
    <row r="68" customFormat="false" ht="15" hidden="false" customHeight="false" outlineLevel="0" collapsed="false">
      <c r="A68" s="61" t="n">
        <v>0.3</v>
      </c>
      <c r="B68" s="6" t="s">
        <v>363</v>
      </c>
      <c r="C68" s="6" t="s">
        <v>445</v>
      </c>
      <c r="D68" s="6" t="s">
        <v>446</v>
      </c>
      <c r="E68" s="6" t="n">
        <v>4</v>
      </c>
    </row>
    <row r="69" customFormat="false" ht="15" hidden="false" customHeight="false" outlineLevel="0" collapsed="false">
      <c r="B69" s="6" t="s">
        <v>447</v>
      </c>
      <c r="C69" s="6" t="s">
        <v>448</v>
      </c>
      <c r="D69" s="6" t="s">
        <v>449</v>
      </c>
      <c r="E69" s="6" t="n">
        <v>5</v>
      </c>
    </row>
    <row r="70" customFormat="false" ht="15" hidden="false" customHeight="false" outlineLevel="0" collapsed="false">
      <c r="D70" s="6" t="s">
        <v>450</v>
      </c>
    </row>
  </sheetData>
  <sheetProtection sheet="true" formatColumns="false" formatRows="false" sort="false" autoFilter="fals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2026-09-22T18:44:19Z</dcterms:created>
  <dc:creator>openpyxl</dc:creator>
  <dc:description/>
  <dc:language>en-US</dc:language>
  <cp:lastModifiedBy/>
  <dcterms:modified xsi:type="dcterms:W3CDTF">2026-09-22T18:44:21Z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